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担保费明细表" sheetId="5" r:id="rId1"/>
    <sheet name="合并" sheetId="6" state="hidden" r:id="rId2"/>
    <sheet name="锦鑫" sheetId="7" state="hidden" r:id="rId3"/>
    <sheet name="天勤" sheetId="8" state="hidden" r:id="rId4"/>
    <sheet name="中审华" sheetId="9" state="hidden" r:id="rId5"/>
  </sheets>
  <definedNames>
    <definedName name="_xlnm._FilterDatabase" localSheetId="0" hidden="1">附件1担保费明细表!$A$4:$R$51</definedName>
    <definedName name="_xlnm._FilterDatabase" localSheetId="1" hidden="1">合并!$A$3:$V$49</definedName>
    <definedName name="_xlnm.Print_Area" localSheetId="0">附件1担保费明细表!$A$1:$R$50</definedName>
    <definedName name="_xlnm.Print_Titles" localSheetId="0">附件1担保费明细表!$1:$4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如表中缺少机构或机构已更名，请按实际情况增加或修改，并标红示意</t>
        </r>
      </text>
    </comment>
    <comment ref="B2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如表中缺少机构或机构已更名，请按实际情况增加或修改，并标红示意</t>
        </r>
      </text>
    </comment>
  </commentList>
</comments>
</file>

<file path=xl/sharedStrings.xml><?xml version="1.0" encoding="utf-8"?>
<sst xmlns="http://schemas.openxmlformats.org/spreadsheetml/2006/main" count="496" uniqueCount="103">
  <si>
    <t>附件4</t>
  </si>
  <si>
    <t>2023年1-3月融资担保担保费补贴汇总表</t>
  </si>
  <si>
    <t>序号</t>
  </si>
  <si>
    <t>机 构</t>
  </si>
  <si>
    <t>常规业务</t>
  </si>
  <si>
    <t>批量业务</t>
  </si>
  <si>
    <t>融担机构拟申报补贴合计
（万元）</t>
  </si>
  <si>
    <t>核减后审定补贴合计（万元）</t>
  </si>
  <si>
    <t>总核减金额（万元）</t>
  </si>
  <si>
    <t>备注</t>
  </si>
  <si>
    <t>500万及以下累计金额（万元）</t>
  </si>
  <si>
    <t>拟申报补贴
（万元）</t>
  </si>
  <si>
    <t>核减后申报补贴（万元）</t>
  </si>
  <si>
    <t>核减金额
（万元）</t>
  </si>
  <si>
    <t>500-1000万累计金额（万元）</t>
  </si>
  <si>
    <t>累计金额（万元）</t>
  </si>
  <si>
    <t>湖南省中小企业融资担保有限公司</t>
  </si>
  <si>
    <t>常德财科融资担保有限公司</t>
  </si>
  <si>
    <t>岳阳市小微融资担保有限责任公司</t>
  </si>
  <si>
    <t>湖南潭城融资担保集团有限公司</t>
  </si>
  <si>
    <t>湘潭中小微融资担保有限公司</t>
  </si>
  <si>
    <t>娄底市兴娄融资担保有限公司</t>
  </si>
  <si>
    <t>永州市潇湘融资担保有限公司</t>
  </si>
  <si>
    <t>益阳市融资担保有限责任公司</t>
  </si>
  <si>
    <t>邵阳市中小企业融资担保有限责任公司</t>
  </si>
  <si>
    <t>邵东市鼎成融资担保有限公司</t>
  </si>
  <si>
    <t>张家界市中小企业融资担保有限公司</t>
  </si>
  <si>
    <t>张家界经济发展融资担保有限公司</t>
  </si>
  <si>
    <t>株洲高科火炬融资担保有限公司</t>
  </si>
  <si>
    <t>长沙市望财融资担保有限公司</t>
  </si>
  <si>
    <t>湖南德诚融资担保有限公司</t>
  </si>
  <si>
    <t>浏阳市中小企业融资担保有限公司</t>
  </si>
  <si>
    <t>湖南金信融资担保有限责任公司</t>
  </si>
  <si>
    <t>浏阳市财信融资担保有限责任公司</t>
  </si>
  <si>
    <t>衡阳市融资担保集团有限公司</t>
  </si>
  <si>
    <t>岳阳县中小企业融资担保有限公司</t>
  </si>
  <si>
    <t>湖南金玉融资担保有限公司</t>
  </si>
  <si>
    <t>桃源县惠民中小企业融资担保有限公司</t>
  </si>
  <si>
    <t>岳阳市融创融资担保有限公司</t>
  </si>
  <si>
    <t>耒阳市互惠投融资担保有限公司</t>
  </si>
  <si>
    <t>长沙经济技术开发区融资担保有限公司</t>
  </si>
  <si>
    <t>湘潭县莲乡融资担保有限公司</t>
  </si>
  <si>
    <t>长沙市长财融资担保有限公司</t>
  </si>
  <si>
    <t>长沙星城中小企业融资担保有限公司</t>
  </si>
  <si>
    <t>湖南众诺融资担保有限公司</t>
  </si>
  <si>
    <t>株洲市融资担保有限公司</t>
  </si>
  <si>
    <t>宁远县中小微企业融资担保有限公司</t>
  </si>
  <si>
    <t>花垣县十八洞融资担保有限责任公司</t>
  </si>
  <si>
    <t>隆回县中小企业融资担保有限责任公司</t>
  </si>
  <si>
    <t>常德美源融资担保有限责任公司</t>
  </si>
  <si>
    <t>长沙市中水融资担保有限公司</t>
  </si>
  <si>
    <t>郴州市中小企业融资担保有限公司</t>
  </si>
  <si>
    <t>怀化市财信融资担保有限责任公司</t>
  </si>
  <si>
    <t>蓝山县财信融资担保有限公司</t>
  </si>
  <si>
    <t>嘉禾嘉盛融资担保有限责任公司</t>
  </si>
  <si>
    <t>湘西融资担保有限责任公司</t>
  </si>
  <si>
    <t>汨罗诚晟融资担保有限公司</t>
  </si>
  <si>
    <t>邵阳县中小企业融资担保有限责任公司</t>
  </si>
  <si>
    <t>湖南梅山融资担保有限责任公司</t>
  </si>
  <si>
    <t>瀚华融资担保股份有限公司湖南分公司</t>
  </si>
  <si>
    <t>江华华信融资担保有限公司</t>
  </si>
  <si>
    <t>合计</t>
  </si>
  <si>
    <t>备注：以上数据均保留至小数后两位。</t>
  </si>
  <si>
    <r>
      <rPr>
        <b/>
        <sz val="11"/>
        <rFont val="Arial Narrow"/>
        <charset val="0"/>
      </rPr>
      <t xml:space="preserve">  </t>
    </r>
    <r>
      <rPr>
        <b/>
        <sz val="11"/>
        <rFont val="仿宋"/>
        <charset val="134"/>
      </rPr>
      <t>机</t>
    </r>
    <r>
      <rPr>
        <b/>
        <sz val="11"/>
        <rFont val="Arial Narrow"/>
        <charset val="0"/>
      </rPr>
      <t xml:space="preserve"> </t>
    </r>
    <r>
      <rPr>
        <b/>
        <sz val="11"/>
        <rFont val="仿宋"/>
        <charset val="134"/>
      </rPr>
      <t>构</t>
    </r>
  </si>
  <si>
    <t>拟申报补贴合计
（万元）</t>
  </si>
  <si>
    <t>核减后拟申报补贴合计（万元）</t>
  </si>
  <si>
    <r>
      <rPr>
        <b/>
        <sz val="11"/>
        <rFont val="Arial Narrow"/>
        <charset val="0"/>
      </rPr>
      <t>500</t>
    </r>
    <r>
      <rPr>
        <b/>
        <sz val="11"/>
        <rFont val="仿宋"/>
        <charset val="134"/>
      </rPr>
      <t>万及以下累计金额（万元）</t>
    </r>
  </si>
  <si>
    <t>笔数</t>
  </si>
  <si>
    <r>
      <rPr>
        <b/>
        <sz val="11"/>
        <rFont val="Arial Narrow"/>
        <charset val="0"/>
      </rPr>
      <t>500-1000</t>
    </r>
    <r>
      <rPr>
        <b/>
        <sz val="11"/>
        <rFont val="仿宋"/>
        <charset val="134"/>
      </rPr>
      <t>万累计金额（万元）</t>
    </r>
  </si>
  <si>
    <t>第二版</t>
  </si>
  <si>
    <t>债权金额</t>
  </si>
  <si>
    <t>申报补贴</t>
  </si>
  <si>
    <t>核减</t>
  </si>
  <si>
    <t>核定</t>
  </si>
  <si>
    <t>再次核减</t>
  </si>
  <si>
    <t>最终核对</t>
  </si>
  <si>
    <t>最终核减</t>
  </si>
  <si>
    <t>500-100</t>
  </si>
  <si>
    <t>常规小计</t>
  </si>
  <si>
    <t>批量</t>
  </si>
  <si>
    <t>第一版</t>
  </si>
  <si>
    <t>第二次核减</t>
  </si>
  <si>
    <t>常规</t>
  </si>
  <si>
    <t>500-1000</t>
  </si>
  <si>
    <t>锦鑫</t>
  </si>
  <si>
    <t>中审华</t>
  </si>
  <si>
    <t>天勤</t>
  </si>
  <si>
    <t xml:space="preserve">2023年第一季度担保费补贴汇总表                                                                         </t>
  </si>
  <si>
    <r>
      <rPr>
        <b/>
        <sz val="11"/>
        <rFont val="宋体"/>
        <charset val="134"/>
      </rPr>
      <t>湖南潭城融资担保</t>
    </r>
    <r>
      <rPr>
        <b/>
        <sz val="11"/>
        <color indexed="10"/>
        <rFont val="宋体"/>
        <charset val="134"/>
      </rPr>
      <t>集团</t>
    </r>
    <r>
      <rPr>
        <b/>
        <sz val="11"/>
        <rFont val="宋体"/>
        <charset val="134"/>
      </rPr>
      <t>有限公司</t>
    </r>
  </si>
  <si>
    <t>笔数合计</t>
  </si>
  <si>
    <t>常规笔数合计</t>
  </si>
  <si>
    <t>常规拟补贴</t>
  </si>
  <si>
    <t>涉及担保金额</t>
  </si>
  <si>
    <t xml:space="preserve">  机 构</t>
  </si>
  <si>
    <t>第一次核减</t>
  </si>
  <si>
    <t>第二次核减（含第一次核减数）</t>
  </si>
  <si>
    <t xml:space="preserve">2023年1-3月担保费补贴汇总表 第一版                                                                        </t>
  </si>
  <si>
    <t>主债权</t>
  </si>
  <si>
    <t>申报</t>
  </si>
  <si>
    <t>小计</t>
  </si>
  <si>
    <t xml:space="preserve">2023年1-3月担保费补贴汇总表                                                                         </t>
  </si>
  <si>
    <t>注：以上未包含银担普惠信用贷业务。银担普惠信用贷业务：1家申报单位的补贴是114.93万元，经审核，剔除掉不符合规定的申报项目后，确认的分险服务费补贴合计为114.93万元，其中：主债权金额合计为57,505.17万元，笔数合计为2409笔，分险服务费补贴合计为114.93万元，无核减金额，确认的分险服务费补贴合计为114.93万元。</t>
  </si>
  <si>
    <t>分险服务费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</si>
</sst>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  <numFmt numFmtId="179" formatCode="#,##0_ "/>
    <numFmt numFmtId="180" formatCode="0.00_);[Red]\(0.00\)"/>
  </numFmts>
  <fonts count="54">
    <font>
      <sz val="1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26"/>
      <name val="黑体"/>
      <charset val="134"/>
    </font>
    <font>
      <b/>
      <sz val="11"/>
      <name val="仿宋"/>
      <charset val="134"/>
    </font>
    <font>
      <b/>
      <sz val="11"/>
      <name val="Arial Narrow"/>
      <charset val="0"/>
    </font>
    <font>
      <b/>
      <sz val="11"/>
      <name val="宋体"/>
      <charset val="134"/>
    </font>
    <font>
      <sz val="11"/>
      <name val="Arial Narrow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48"/>
      <name val="黑体"/>
      <charset val="134"/>
    </font>
    <font>
      <b/>
      <sz val="20"/>
      <name val="仿宋"/>
      <charset val="134"/>
    </font>
    <font>
      <b/>
      <sz val="48"/>
      <name val="仿宋"/>
      <charset val="134"/>
    </font>
    <font>
      <b/>
      <sz val="16"/>
      <name val="仿宋"/>
      <charset val="134"/>
    </font>
    <font>
      <sz val="20"/>
      <name val="黑体"/>
      <charset val="134"/>
    </font>
    <font>
      <sz val="18"/>
      <name val="仿宋"/>
      <charset val="134"/>
    </font>
    <font>
      <b/>
      <sz val="18"/>
      <name val="仿宋"/>
      <charset val="134"/>
    </font>
    <font>
      <sz val="18"/>
      <color rgb="FFFF0000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8"/>
      <color rgb="FFFF0000"/>
      <name val="仿宋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7" borderId="13" applyNumberFormat="0" applyAlignment="0" applyProtection="0">
      <alignment vertical="center"/>
    </xf>
    <xf numFmtId="0" fontId="44" fillId="8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43" fontId="1" fillId="0" borderId="0" xfId="1" applyNumberFormat="1" applyFont="1" applyAlignment="1"/>
    <xf numFmtId="176" fontId="3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3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43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6" fontId="12" fillId="0" borderId="0" xfId="0" applyNumberFormat="1" applyFont="1" applyFill="1" applyBorder="1" applyAlignment="1">
      <alignment horizontal="center"/>
    </xf>
    <xf numFmtId="178" fontId="12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/>
    <xf numFmtId="177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6" fontId="1" fillId="2" borderId="0" xfId="0" applyNumberFormat="1" applyFont="1" applyFill="1" applyAlignment="1">
      <alignment horizontal="center"/>
    </xf>
    <xf numFmtId="177" fontId="1" fillId="3" borderId="0" xfId="0" applyNumberFormat="1" applyFont="1" applyFill="1" applyBorder="1" applyAlignment="1"/>
    <xf numFmtId="176" fontId="1" fillId="3" borderId="0" xfId="0" applyNumberFormat="1" applyFont="1" applyFill="1" applyBorder="1" applyAlignment="1"/>
    <xf numFmtId="176" fontId="1" fillId="2" borderId="0" xfId="0" applyNumberFormat="1" applyFont="1" applyFill="1" applyBorder="1" applyAlignment="1">
      <alignment horizontal="center"/>
    </xf>
    <xf numFmtId="176" fontId="1" fillId="3" borderId="0" xfId="0" applyNumberFormat="1" applyFont="1" applyFill="1" applyBorder="1" applyAlignment="1">
      <alignment horizontal="center"/>
    </xf>
    <xf numFmtId="178" fontId="1" fillId="2" borderId="0" xfId="0" applyNumberFormat="1" applyFont="1" applyFill="1" applyBorder="1" applyAlignment="1">
      <alignment horizontal="center"/>
    </xf>
    <xf numFmtId="178" fontId="1" fillId="3" borderId="0" xfId="0" applyNumberFormat="1" applyFont="1" applyFill="1" applyBorder="1" applyAlignment="1"/>
    <xf numFmtId="178" fontId="12" fillId="2" borderId="0" xfId="0" applyNumberFormat="1" applyFont="1" applyFill="1" applyBorder="1" applyAlignment="1">
      <alignment horizontal="center"/>
    </xf>
    <xf numFmtId="178" fontId="1" fillId="3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/>
    <xf numFmtId="43" fontId="13" fillId="0" borderId="1" xfId="1" applyNumberFormat="1" applyFont="1" applyFill="1" applyBorder="1" applyAlignment="1">
      <alignment horizontal="center" vertical="center" wrapText="1"/>
    </xf>
    <xf numFmtId="43" fontId="8" fillId="0" borderId="1" xfId="1" applyNumberFormat="1" applyFont="1" applyFill="1" applyBorder="1" applyAlignment="1">
      <alignment horizontal="center" vertical="center" wrapText="1"/>
    </xf>
    <xf numFmtId="43" fontId="6" fillId="0" borderId="1" xfId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/>
    <xf numFmtId="176" fontId="6" fillId="0" borderId="1" xfId="0" applyNumberFormat="1" applyFont="1" applyFill="1" applyBorder="1" applyAlignment="1"/>
    <xf numFmtId="0" fontId="8" fillId="0" borderId="1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/>
    <xf numFmtId="179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/>
    <xf numFmtId="0" fontId="1" fillId="0" borderId="0" xfId="0" applyFont="1" applyFill="1" applyAlignment="1"/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176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7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176" fontId="21" fillId="0" borderId="0" xfId="0" applyNumberFormat="1" applyFont="1" applyFill="1" applyBorder="1" applyAlignment="1">
      <alignment horizontal="center"/>
    </xf>
    <xf numFmtId="178" fontId="21" fillId="0" borderId="0" xfId="0" applyNumberFormat="1" applyFont="1" applyFill="1" applyBorder="1" applyAlignment="1">
      <alignment horizontal="center"/>
    </xf>
    <xf numFmtId="176" fontId="22" fillId="0" borderId="0" xfId="0" applyNumberFormat="1" applyFont="1" applyFill="1" applyBorder="1" applyAlignment="1">
      <alignment horizontal="center"/>
    </xf>
    <xf numFmtId="176" fontId="16" fillId="0" borderId="7" xfId="0" applyNumberFormat="1" applyFont="1" applyFill="1" applyBorder="1" applyAlignment="1">
      <alignment horizontal="center" vertical="center" wrapText="1"/>
    </xf>
    <xf numFmtId="179" fontId="16" fillId="0" borderId="8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2" fillId="2" borderId="0" xfId="0" applyNumberFormat="1" applyFont="1" applyFill="1" applyAlignment="1">
      <alignment horizontal="center"/>
    </xf>
    <xf numFmtId="179" fontId="2" fillId="0" borderId="0" xfId="0" applyNumberFormat="1" applyFont="1" applyFill="1" applyBorder="1" applyAlignment="1">
      <alignment horizontal="center"/>
    </xf>
    <xf numFmtId="179" fontId="23" fillId="2" borderId="0" xfId="0" applyNumberFormat="1" applyFont="1" applyFill="1" applyBorder="1" applyAlignment="1"/>
    <xf numFmtId="176" fontId="23" fillId="2" borderId="0" xfId="0" applyNumberFormat="1" applyFont="1" applyFill="1" applyBorder="1" applyAlignment="1"/>
    <xf numFmtId="176" fontId="22" fillId="2" borderId="0" xfId="0" applyNumberFormat="1" applyFont="1" applyFill="1" applyBorder="1" applyAlignment="1"/>
    <xf numFmtId="178" fontId="23" fillId="2" borderId="0" xfId="0" applyNumberFormat="1" applyFont="1" applyFill="1" applyBorder="1" applyAlignment="1"/>
    <xf numFmtId="179" fontId="22" fillId="0" borderId="0" xfId="0" applyNumberFormat="1" applyFont="1" applyFill="1" applyBorder="1" applyAlignment="1">
      <alignment horizontal="center"/>
    </xf>
    <xf numFmtId="176" fontId="22" fillId="0" borderId="0" xfId="0" applyNumberFormat="1" applyFont="1" applyFill="1" applyBorder="1" applyAlignment="1"/>
    <xf numFmtId="178" fontId="22" fillId="0" borderId="0" xfId="0" applyNumberFormat="1" applyFont="1" applyFill="1" applyBorder="1" applyAlignment="1"/>
    <xf numFmtId="179" fontId="22" fillId="0" borderId="0" xfId="0" applyNumberFormat="1" applyFont="1" applyFill="1" applyBorder="1" applyAlignment="1"/>
    <xf numFmtId="176" fontId="16" fillId="0" borderId="9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176" fontId="24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/>
    <xf numFmtId="0" fontId="12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Fill="1" applyAlignment="1"/>
    <xf numFmtId="177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/>
    <xf numFmtId="177" fontId="1" fillId="0" borderId="0" xfId="0" applyNumberFormat="1" applyFont="1" applyFill="1" applyAlignment="1"/>
    <xf numFmtId="176" fontId="1" fillId="0" borderId="3" xfId="0" applyNumberFormat="1" applyFont="1" applyFill="1" applyBorder="1" applyAlignment="1">
      <alignment horizontal="center" vertical="center"/>
    </xf>
    <xf numFmtId="43" fontId="3" fillId="0" borderId="1" xfId="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/>
    <xf numFmtId="177" fontId="1" fillId="0" borderId="1" xfId="0" applyNumberFormat="1" applyFont="1" applyFill="1" applyBorder="1" applyAlignment="1"/>
    <xf numFmtId="43" fontId="1" fillId="0" borderId="1" xfId="1" applyNumberFormat="1" applyFont="1" applyFill="1" applyBorder="1" applyAlignment="1"/>
    <xf numFmtId="0" fontId="8" fillId="0" borderId="1" xfId="0" applyFont="1" applyFill="1" applyBorder="1" applyAlignment="1"/>
    <xf numFmtId="176" fontId="3" fillId="0" borderId="0" xfId="0" applyNumberFormat="1" applyFont="1" applyFill="1" applyAlignment="1"/>
    <xf numFmtId="0" fontId="3" fillId="0" borderId="3" xfId="0" applyFont="1" applyFill="1" applyBorder="1" applyAlignment="1">
      <alignment horizontal="center"/>
    </xf>
    <xf numFmtId="176" fontId="3" fillId="0" borderId="1" xfId="0" applyNumberFormat="1" applyFont="1" applyFill="1" applyBorder="1" applyAlignment="1"/>
    <xf numFmtId="176" fontId="1" fillId="2" borderId="0" xfId="0" applyNumberFormat="1" applyFont="1" applyFill="1" applyBorder="1" applyAlignment="1"/>
    <xf numFmtId="176" fontId="3" fillId="2" borderId="0" xfId="0" applyNumberFormat="1" applyFont="1" applyFill="1" applyBorder="1" applyAlignment="1"/>
    <xf numFmtId="177" fontId="1" fillId="2" borderId="0" xfId="0" applyNumberFormat="1" applyFont="1" applyFill="1" applyBorder="1" applyAlignment="1"/>
    <xf numFmtId="177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25" fillId="0" borderId="1" xfId="0" applyFont="1" applyBorder="1">
      <alignment vertical="center"/>
    </xf>
    <xf numFmtId="178" fontId="0" fillId="0" borderId="0" xfId="0" applyNumberFormat="1">
      <alignment vertical="center"/>
    </xf>
    <xf numFmtId="176" fontId="3" fillId="0" borderId="0" xfId="0" applyNumberFormat="1" applyFont="1" applyFill="1" applyBorder="1" applyAlignment="1">
      <alignment horizontal="center"/>
    </xf>
    <xf numFmtId="178" fontId="25" fillId="0" borderId="0" xfId="0" applyNumberFormat="1" applyFont="1">
      <alignment vertical="center"/>
    </xf>
    <xf numFmtId="0" fontId="0" fillId="4" borderId="0" xfId="0" applyFill="1">
      <alignment vertical="center"/>
    </xf>
    <xf numFmtId="178" fontId="26" fillId="0" borderId="0" xfId="0" applyNumberFormat="1" applyFont="1" applyAlignment="1">
      <alignment horizontal="center" vertical="center"/>
    </xf>
    <xf numFmtId="178" fontId="26" fillId="0" borderId="0" xfId="0" applyNumberFormat="1" applyFont="1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177" fontId="0" fillId="4" borderId="0" xfId="0" applyNumberForma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8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177" fontId="0" fillId="0" borderId="0" xfId="0" applyNumberFormat="1" applyFill="1">
      <alignment vertical="center"/>
    </xf>
    <xf numFmtId="0" fontId="31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D966"/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1"/>
  <sheetViews>
    <sheetView tabSelected="1" view="pageBreakPreview" zoomScale="55" zoomScaleNormal="70" workbookViewId="0">
      <pane xSplit="2" ySplit="4" topLeftCell="C21" activePane="bottomRight" state="frozen"/>
      <selection/>
      <selection pane="topRight"/>
      <selection pane="bottomLeft"/>
      <selection pane="bottomRight" activeCell="F33" sqref="F32:F33"/>
    </sheetView>
  </sheetViews>
  <sheetFormatPr defaultColWidth="9" defaultRowHeight="14.25"/>
  <cols>
    <col min="1" max="1" width="9" style="189"/>
    <col min="2" max="2" width="64.0833333333333" style="187" customWidth="1"/>
    <col min="3" max="3" width="20.375" style="187"/>
    <col min="4" max="4" width="21.3583333333333" style="187" customWidth="1"/>
    <col min="5" max="5" width="16.5" style="187"/>
    <col min="6" max="6" width="19.6833333333333" style="187" customWidth="1"/>
    <col min="7" max="7" width="20.375" style="187"/>
    <col min="8" max="8" width="20.9083333333333" style="187" customWidth="1"/>
    <col min="9" max="9" width="18.4083333333333" style="187" customWidth="1"/>
    <col min="10" max="10" width="16.5916666666667" style="187" customWidth="1"/>
    <col min="11" max="11" width="20.375" style="187"/>
    <col min="12" max="12" width="19.5416666666667" style="187" customWidth="1"/>
    <col min="13" max="13" width="17.0416666666667" style="187" customWidth="1"/>
    <col min="14" max="14" width="18.175" style="187" customWidth="1"/>
    <col min="15" max="16" width="16.5" style="187"/>
    <col min="17" max="17" width="14.625" style="187"/>
    <col min="18" max="18" width="9" style="187"/>
    <col min="19" max="19" width="17.95" style="187" customWidth="1"/>
    <col min="20" max="20" width="17.0416666666667" style="187" customWidth="1"/>
    <col min="21" max="16384" width="9" style="187"/>
  </cols>
  <sheetData>
    <row r="1" ht="43" customHeight="1" spans="1:2">
      <c r="A1" s="190" t="s">
        <v>0</v>
      </c>
      <c r="B1" s="190"/>
    </row>
    <row r="2" ht="114" customHeight="1" spans="1:18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="185" customFormat="1" ht="77" customHeight="1" spans="1:18">
      <c r="A3" s="192" t="s">
        <v>2</v>
      </c>
      <c r="B3" s="192" t="s">
        <v>3</v>
      </c>
      <c r="C3" s="193" t="s">
        <v>4</v>
      </c>
      <c r="D3" s="194"/>
      <c r="E3" s="194"/>
      <c r="F3" s="194"/>
      <c r="G3" s="194"/>
      <c r="H3" s="194"/>
      <c r="I3" s="194"/>
      <c r="J3" s="207"/>
      <c r="K3" s="193" t="s">
        <v>5</v>
      </c>
      <c r="L3" s="194"/>
      <c r="M3" s="194"/>
      <c r="N3" s="207"/>
      <c r="O3" s="192" t="s">
        <v>6</v>
      </c>
      <c r="P3" s="192" t="s">
        <v>7</v>
      </c>
      <c r="Q3" s="192" t="s">
        <v>8</v>
      </c>
      <c r="R3" s="192" t="s">
        <v>9</v>
      </c>
    </row>
    <row r="4" s="186" customFormat="1" ht="139" customHeight="1" spans="1:18">
      <c r="A4" s="195"/>
      <c r="B4" s="195"/>
      <c r="C4" s="196" t="s">
        <v>10</v>
      </c>
      <c r="D4" s="196" t="s">
        <v>11</v>
      </c>
      <c r="E4" s="196" t="s">
        <v>12</v>
      </c>
      <c r="F4" s="196" t="s">
        <v>13</v>
      </c>
      <c r="G4" s="196" t="s">
        <v>14</v>
      </c>
      <c r="H4" s="196" t="s">
        <v>11</v>
      </c>
      <c r="I4" s="196" t="s">
        <v>12</v>
      </c>
      <c r="J4" s="196" t="s">
        <v>13</v>
      </c>
      <c r="K4" s="196" t="s">
        <v>15</v>
      </c>
      <c r="L4" s="196" t="s">
        <v>11</v>
      </c>
      <c r="M4" s="196" t="s">
        <v>12</v>
      </c>
      <c r="N4" s="196" t="s">
        <v>13</v>
      </c>
      <c r="O4" s="195"/>
      <c r="P4" s="195"/>
      <c r="Q4" s="195"/>
      <c r="R4" s="195"/>
    </row>
    <row r="5" s="187" customFormat="1" ht="30.5" customHeight="1" spans="1:18">
      <c r="A5" s="197">
        <v>1</v>
      </c>
      <c r="B5" s="198" t="s">
        <v>16</v>
      </c>
      <c r="C5" s="199">
        <f>VLOOKUP(B5,合并!$B$4:$U$48,2,FALSE)</f>
        <v>35721</v>
      </c>
      <c r="D5" s="199">
        <f>VLOOKUP(B5,合并!$B$4:$U$48,4,FALSE)</f>
        <v>173.09</v>
      </c>
      <c r="E5" s="199">
        <f>VLOOKUP(B5,合并!$B$4:$U$48,5,FALSE)</f>
        <v>166.28</v>
      </c>
      <c r="F5" s="199">
        <f>VLOOKUP(B5,合并!$B$4:$U$48,6,FALSE)</f>
        <v>6.81</v>
      </c>
      <c r="G5" s="199">
        <f>VLOOKUP(B5,合并!$B$4:$U$48,7,FALSE)</f>
        <v>15685</v>
      </c>
      <c r="H5" s="199">
        <f>VLOOKUP(B5,合并!$B$4:$U$48,9,FALSE)</f>
        <v>66.57</v>
      </c>
      <c r="I5" s="199">
        <f>VLOOKUP(B5,合并!$B$4:$U$48,10,FALSE)</f>
        <v>59.11</v>
      </c>
      <c r="J5" s="199">
        <f>VLOOKUP(B5,合并!$B$4:$U$48,11,FALSE)</f>
        <v>7.46</v>
      </c>
      <c r="K5" s="199">
        <f>VLOOKUP(B5,合并!$B$4:$U$48,12,FALSE)</f>
        <v>145313.2</v>
      </c>
      <c r="L5" s="199">
        <f>VLOOKUP(B5,合并!$B$4:$U$48,14,FALSE)</f>
        <v>290.709999999997</v>
      </c>
      <c r="M5" s="199">
        <f>VLOOKUP(B5,合并!$B$4:$U$48,15,FALSE)</f>
        <v>290.709999999997</v>
      </c>
      <c r="N5" s="199">
        <f>VLOOKUP(B5,合并!$B$4:$U$48,16,FALSE)</f>
        <v>0</v>
      </c>
      <c r="O5" s="199">
        <f>VLOOKUP(B5,合并!$B$4:$U$48,17,FALSE)</f>
        <v>530.369999999997</v>
      </c>
      <c r="P5" s="199">
        <f>VLOOKUP(B5,合并!$B$4:$U$48,18,FALSE)</f>
        <v>516.099999999997</v>
      </c>
      <c r="Q5" s="199">
        <f>VLOOKUP(B5,合并!$B$4:$U$48,19,FALSE)</f>
        <v>14.27</v>
      </c>
      <c r="R5" s="208"/>
    </row>
    <row r="6" ht="30.5" customHeight="1" spans="1:18">
      <c r="A6" s="197">
        <v>2</v>
      </c>
      <c r="B6" s="198" t="s">
        <v>17</v>
      </c>
      <c r="C6" s="199">
        <f>VLOOKUP(B6,合并!$B$4:$U$48,2,FALSE)</f>
        <v>35529.302217</v>
      </c>
      <c r="D6" s="199">
        <f>VLOOKUP(B6,合并!$B$4:$U$48,4,FALSE)</f>
        <v>171.15</v>
      </c>
      <c r="E6" s="199">
        <f>VLOOKUP(B6,合并!$B$4:$U$48,5,FALSE)</f>
        <v>158.28</v>
      </c>
      <c r="F6" s="199">
        <f>VLOOKUP(B6,合并!$B$4:$U$48,6,FALSE)</f>
        <v>12.87</v>
      </c>
      <c r="G6" s="199">
        <f>VLOOKUP(B6,合并!$B$4:$U$48,7,FALSE)</f>
        <v>14250</v>
      </c>
      <c r="H6" s="199">
        <f>VLOOKUP(B6,合并!$B$4:$U$48,9,FALSE)</f>
        <v>70.16</v>
      </c>
      <c r="I6" s="199">
        <f>VLOOKUP(B6,合并!$B$4:$U$48,10,FALSE)</f>
        <v>42.18</v>
      </c>
      <c r="J6" s="199">
        <f>VLOOKUP(B6,合并!$B$4:$U$48,11,FALSE)</f>
        <v>27.98</v>
      </c>
      <c r="K6" s="199">
        <f>VLOOKUP(B6,合并!$B$4:$U$48,12,FALSE)</f>
        <v>20488.2</v>
      </c>
      <c r="L6" s="199">
        <f>VLOOKUP(B6,合并!$B$4:$U$48,14,FALSE)</f>
        <v>35.04</v>
      </c>
      <c r="M6" s="199">
        <f>VLOOKUP(B6,合并!$B$4:$U$48,15,FALSE)</f>
        <v>35.04</v>
      </c>
      <c r="N6" s="199">
        <f>VLOOKUP(B6,合并!$B$4:$U$48,16,FALSE)</f>
        <v>0</v>
      </c>
      <c r="O6" s="199">
        <f>VLOOKUP(B6,合并!$B$4:$U$48,17,FALSE)</f>
        <v>276.35</v>
      </c>
      <c r="P6" s="199">
        <f>VLOOKUP(B6,合并!$B$4:$U$48,18,FALSE)</f>
        <v>235.5</v>
      </c>
      <c r="Q6" s="199">
        <f>VLOOKUP(B6,合并!$B$4:$U$48,19,FALSE)</f>
        <v>40.85</v>
      </c>
      <c r="R6" s="208"/>
    </row>
    <row r="7" s="187" customFormat="1" ht="30.5" customHeight="1" spans="1:18">
      <c r="A7" s="197">
        <v>3</v>
      </c>
      <c r="B7" s="198" t="s">
        <v>18</v>
      </c>
      <c r="C7" s="199">
        <f>VLOOKUP(B7,合并!$B$4:$U$48,2,FALSE)</f>
        <v>32516</v>
      </c>
      <c r="D7" s="199">
        <f>VLOOKUP(B7,合并!$B$4:$U$48,4,FALSE)</f>
        <v>159.41</v>
      </c>
      <c r="E7" s="199">
        <f>VLOOKUP(B7,合并!$B$4:$U$48,5,FALSE)</f>
        <v>116.67</v>
      </c>
      <c r="F7" s="199">
        <f>VLOOKUP(B7,合并!$B$4:$U$48,6,FALSE)</f>
        <v>42.74</v>
      </c>
      <c r="G7" s="199">
        <f>VLOOKUP(B7,合并!$B$4:$U$48,7,FALSE)</f>
        <v>9536</v>
      </c>
      <c r="H7" s="199">
        <f>VLOOKUP(B7,合并!$B$4:$U$48,9,FALSE)</f>
        <v>46.56</v>
      </c>
      <c r="I7" s="199">
        <f>VLOOKUP(B7,合并!$B$4:$U$48,10,FALSE)</f>
        <v>38.75</v>
      </c>
      <c r="J7" s="199">
        <f>VLOOKUP(B7,合并!$B$4:$U$48,11,FALSE)</f>
        <v>7.81</v>
      </c>
      <c r="K7" s="199">
        <f>VLOOKUP(B7,合并!$B$4:$U$48,12,FALSE)</f>
        <v>27108.8</v>
      </c>
      <c r="L7" s="199">
        <f>VLOOKUP(B7,合并!$B$4:$U$48,14,FALSE)</f>
        <v>53.92</v>
      </c>
      <c r="M7" s="199">
        <f>VLOOKUP(B7,合并!$B$4:$U$48,15,FALSE)</f>
        <v>45.47</v>
      </c>
      <c r="N7" s="199">
        <f>VLOOKUP(B7,合并!$B$4:$U$48,16,FALSE)</f>
        <v>8.45</v>
      </c>
      <c r="O7" s="199">
        <f>VLOOKUP(B7,合并!$B$4:$U$48,17,FALSE)</f>
        <v>259.89</v>
      </c>
      <c r="P7" s="199">
        <f>VLOOKUP(B7,合并!$B$4:$U$48,18,FALSE)</f>
        <v>200.89</v>
      </c>
      <c r="Q7" s="199">
        <f>VLOOKUP(B7,合并!$B$4:$U$48,19,FALSE)</f>
        <v>59</v>
      </c>
      <c r="R7" s="208"/>
    </row>
    <row r="8" ht="30.5" customHeight="1" spans="1:18">
      <c r="A8" s="197">
        <v>4</v>
      </c>
      <c r="B8" s="198" t="s">
        <v>19</v>
      </c>
      <c r="C8" s="199">
        <f>VLOOKUP(B8,合并!$B$4:$U$48,2,FALSE)</f>
        <v>2505</v>
      </c>
      <c r="D8" s="199">
        <f>VLOOKUP(B8,合并!$B$4:$U$48,4,FALSE)</f>
        <v>11.78</v>
      </c>
      <c r="E8" s="199">
        <f>VLOOKUP(B8,合并!$B$4:$U$48,5,FALSE)</f>
        <v>9.48</v>
      </c>
      <c r="F8" s="199">
        <f>VLOOKUP(B8,合并!$B$4:$U$48,6,FALSE)</f>
        <v>2.3</v>
      </c>
      <c r="G8" s="199">
        <f>VLOOKUP(B8,合并!$B$4:$U$48,7,FALSE)</f>
        <v>3900</v>
      </c>
      <c r="H8" s="199">
        <f>VLOOKUP(B8,合并!$B$4:$U$48,9,FALSE)</f>
        <v>19.46</v>
      </c>
      <c r="I8" s="199">
        <f>VLOOKUP(B8,合并!$B$4:$U$48,10,FALSE)</f>
        <v>19.46</v>
      </c>
      <c r="J8" s="199">
        <f>VLOOKUP(B8,合并!$B$4:$U$48,11,FALSE)</f>
        <v>0</v>
      </c>
      <c r="K8" s="199">
        <f>VLOOKUP(B8,合并!$B$4:$U$48,12,FALSE)</f>
        <v>0</v>
      </c>
      <c r="L8" s="199">
        <f>VLOOKUP(B8,合并!$B$4:$U$48,14,FALSE)</f>
        <v>0</v>
      </c>
      <c r="M8" s="199">
        <f>VLOOKUP(B8,合并!$B$4:$U$48,15,FALSE)</f>
        <v>0</v>
      </c>
      <c r="N8" s="199">
        <f>VLOOKUP(B8,合并!$B$4:$U$48,16,FALSE)</f>
        <v>0</v>
      </c>
      <c r="O8" s="199">
        <f>VLOOKUP(B8,合并!$B$4:$U$48,17,FALSE)</f>
        <v>31.24</v>
      </c>
      <c r="P8" s="199">
        <f>VLOOKUP(B8,合并!$B$4:$U$48,18,FALSE)</f>
        <v>28.94</v>
      </c>
      <c r="Q8" s="199">
        <f>VLOOKUP(B8,合并!$B$4:$U$48,19,FALSE)</f>
        <v>2.3</v>
      </c>
      <c r="R8" s="208"/>
    </row>
    <row r="9" ht="30.5" customHeight="1" spans="1:18">
      <c r="A9" s="197">
        <v>5</v>
      </c>
      <c r="B9" s="198" t="s">
        <v>20</v>
      </c>
      <c r="C9" s="199">
        <f>VLOOKUP(B9,合并!$B$4:$U$48,2,FALSE)</f>
        <v>8107.8</v>
      </c>
      <c r="D9" s="199">
        <f>VLOOKUP(B9,合并!$B$4:$U$48,4,FALSE)</f>
        <v>40.3</v>
      </c>
      <c r="E9" s="199">
        <f>VLOOKUP(B9,合并!$B$4:$U$48,5,FALSE)</f>
        <v>39.84</v>
      </c>
      <c r="F9" s="199">
        <f>VLOOKUP(B9,合并!$B$4:$U$48,6,FALSE)</f>
        <v>0.46</v>
      </c>
      <c r="G9" s="199">
        <f>VLOOKUP(B9,合并!$B$4:$U$48,7,FALSE)</f>
        <v>900</v>
      </c>
      <c r="H9" s="199">
        <f>VLOOKUP(B9,合并!$B$4:$U$48,9,FALSE)</f>
        <v>4.49</v>
      </c>
      <c r="I9" s="199">
        <f>VLOOKUP(B9,合并!$B$4:$U$48,10,FALSE)</f>
        <v>4.49</v>
      </c>
      <c r="J9" s="199">
        <f>VLOOKUP(B9,合并!$B$4:$U$48,11,FALSE)</f>
        <v>0</v>
      </c>
      <c r="K9" s="199">
        <f>VLOOKUP(B9,合并!$B$4:$U$48,12,FALSE)</f>
        <v>12769.2</v>
      </c>
      <c r="L9" s="199">
        <f>VLOOKUP(B9,合并!$B$4:$U$48,14,FALSE)</f>
        <v>21.69</v>
      </c>
      <c r="M9" s="199">
        <f>VLOOKUP(B9,合并!$B$4:$U$48,15,FALSE)</f>
        <v>21.69</v>
      </c>
      <c r="N9" s="199">
        <f>VLOOKUP(B9,合并!$B$4:$U$48,16,FALSE)</f>
        <v>0</v>
      </c>
      <c r="O9" s="199">
        <f>VLOOKUP(B9,合并!$B$4:$U$48,17,FALSE)</f>
        <v>66.48</v>
      </c>
      <c r="P9" s="199">
        <f>VLOOKUP(B9,合并!$B$4:$U$48,18,FALSE)</f>
        <v>66.02</v>
      </c>
      <c r="Q9" s="199">
        <f>VLOOKUP(B9,合并!$B$4:$U$48,19,FALSE)</f>
        <v>0.46</v>
      </c>
      <c r="R9" s="208"/>
    </row>
    <row r="10" ht="30.5" customHeight="1" spans="1:18">
      <c r="A10" s="197">
        <v>6</v>
      </c>
      <c r="B10" s="198" t="s">
        <v>21</v>
      </c>
      <c r="C10" s="199">
        <f>VLOOKUP(B10,合并!$B$4:$U$48,2,FALSE)</f>
        <v>30551.8</v>
      </c>
      <c r="D10" s="199">
        <f>VLOOKUP(B10,合并!$B$4:$U$48,4,FALSE)</f>
        <v>150.9</v>
      </c>
      <c r="E10" s="199">
        <f>VLOOKUP(B10,合并!$B$4:$U$48,5,FALSE)</f>
        <v>144.41</v>
      </c>
      <c r="F10" s="199">
        <f>VLOOKUP(B10,合并!$B$4:$U$48,6,FALSE)</f>
        <v>6.49</v>
      </c>
      <c r="G10" s="199">
        <f>VLOOKUP(B10,合并!$B$4:$U$48,7,FALSE)</f>
        <v>830</v>
      </c>
      <c r="H10" s="199">
        <f>VLOOKUP(B10,合并!$B$4:$U$48,9,FALSE)</f>
        <v>3.99</v>
      </c>
      <c r="I10" s="199">
        <f>VLOOKUP(B10,合并!$B$4:$U$48,10,FALSE)</f>
        <v>3.99</v>
      </c>
      <c r="J10" s="199">
        <f>VLOOKUP(B10,合并!$B$4:$U$48,11,FALSE)</f>
        <v>0</v>
      </c>
      <c r="K10" s="199">
        <f>VLOOKUP(B10,合并!$B$4:$U$48,12,FALSE)</f>
        <v>13267.4</v>
      </c>
      <c r="L10" s="199">
        <f>VLOOKUP(B10,合并!$B$4:$U$48,14,FALSE)</f>
        <v>22.2</v>
      </c>
      <c r="M10" s="199">
        <f>VLOOKUP(B10,合并!$B$4:$U$48,15,FALSE)</f>
        <v>21.65</v>
      </c>
      <c r="N10" s="199">
        <f>VLOOKUP(B10,合并!$B$4:$U$48,16,FALSE)</f>
        <v>0.55</v>
      </c>
      <c r="O10" s="199">
        <f>VLOOKUP(B10,合并!$B$4:$U$48,17,FALSE)</f>
        <v>177.09</v>
      </c>
      <c r="P10" s="199">
        <f>VLOOKUP(B10,合并!$B$4:$U$48,18,FALSE)</f>
        <v>170.05</v>
      </c>
      <c r="Q10" s="199">
        <f>VLOOKUP(B10,合并!$B$4:$U$48,19,FALSE)</f>
        <v>7.04</v>
      </c>
      <c r="R10" s="208"/>
    </row>
    <row r="11" ht="30.5" customHeight="1" spans="1:18">
      <c r="A11" s="197">
        <v>7</v>
      </c>
      <c r="B11" s="198" t="s">
        <v>22</v>
      </c>
      <c r="C11" s="199">
        <f>VLOOKUP(B11,合并!$B$4:$U$48,2,FALSE)</f>
        <v>19918.5</v>
      </c>
      <c r="D11" s="199">
        <f>VLOOKUP(B11,合并!$B$4:$U$48,4,FALSE)</f>
        <v>98.12</v>
      </c>
      <c r="E11" s="199">
        <f>VLOOKUP(B11,合并!$B$4:$U$48,5,FALSE)</f>
        <v>92.63</v>
      </c>
      <c r="F11" s="199">
        <f>VLOOKUP(B11,合并!$B$4:$U$48,6,FALSE)</f>
        <v>5.49</v>
      </c>
      <c r="G11" s="199">
        <f>VLOOKUP(B11,合并!$B$4:$U$48,7,FALSE)</f>
        <v>4238</v>
      </c>
      <c r="H11" s="199">
        <f>VLOOKUP(B11,合并!$B$4:$U$48,9,FALSE)</f>
        <v>18.08</v>
      </c>
      <c r="I11" s="199">
        <f>VLOOKUP(B11,合并!$B$4:$U$48,10,FALSE)</f>
        <v>18.08</v>
      </c>
      <c r="J11" s="199">
        <f>VLOOKUP(B11,合并!$B$4:$U$48,11,FALSE)</f>
        <v>0</v>
      </c>
      <c r="K11" s="199">
        <f>VLOOKUP(B11,合并!$B$4:$U$48,12,FALSE)</f>
        <v>22692</v>
      </c>
      <c r="L11" s="199">
        <f>VLOOKUP(B11,合并!$B$4:$U$48,14,FALSE)</f>
        <v>44.96</v>
      </c>
      <c r="M11" s="199">
        <f>VLOOKUP(B11,合并!$B$4:$U$48,15,FALSE)</f>
        <v>42.03</v>
      </c>
      <c r="N11" s="199">
        <f>VLOOKUP(B11,合并!$B$4:$U$48,16,FALSE)</f>
        <v>2.93</v>
      </c>
      <c r="O11" s="199">
        <f>VLOOKUP(B11,合并!$B$4:$U$48,17,FALSE)</f>
        <v>161.16</v>
      </c>
      <c r="P11" s="199">
        <f>VLOOKUP(B11,合并!$B$4:$U$48,18,FALSE)</f>
        <v>152.74</v>
      </c>
      <c r="Q11" s="199">
        <f>VLOOKUP(B11,合并!$B$4:$U$48,19,FALSE)</f>
        <v>8.42</v>
      </c>
      <c r="R11" s="208"/>
    </row>
    <row r="12" s="187" customFormat="1" ht="30.5" customHeight="1" spans="1:18">
      <c r="A12" s="197">
        <v>8</v>
      </c>
      <c r="B12" s="198" t="s">
        <v>23</v>
      </c>
      <c r="C12" s="199">
        <f>VLOOKUP(B12,合并!$B$4:$U$48,2,FALSE)</f>
        <v>75251.4561</v>
      </c>
      <c r="D12" s="199">
        <f>VLOOKUP(B12,合并!$B$4:$U$48,4,FALSE)</f>
        <v>375.66</v>
      </c>
      <c r="E12" s="199">
        <f>VLOOKUP(B12,合并!$B$4:$U$48,5,FALSE)</f>
        <v>366.6</v>
      </c>
      <c r="F12" s="199">
        <f>VLOOKUP(B12,合并!$B$4:$U$48,6,FALSE)</f>
        <v>9.06</v>
      </c>
      <c r="G12" s="199">
        <f>VLOOKUP(B12,合并!$B$4:$U$48,7,FALSE)</f>
        <v>10986</v>
      </c>
      <c r="H12" s="199">
        <f>VLOOKUP(B12,合并!$B$4:$U$48,9,FALSE)</f>
        <v>54.57</v>
      </c>
      <c r="I12" s="199">
        <f>VLOOKUP(B12,合并!$B$4:$U$48,10,FALSE)</f>
        <v>41.15</v>
      </c>
      <c r="J12" s="199">
        <f>VLOOKUP(B12,合并!$B$4:$U$48,11,FALSE)</f>
        <v>13.42</v>
      </c>
      <c r="K12" s="199">
        <f>VLOOKUP(B12,合并!$B$4:$U$48,12,FALSE)</f>
        <v>19907.7</v>
      </c>
      <c r="L12" s="199">
        <f>VLOOKUP(B12,合并!$B$4:$U$48,14,FALSE)</f>
        <v>39.11</v>
      </c>
      <c r="M12" s="199">
        <f>VLOOKUP(B12,合并!$B$4:$U$48,15,FALSE)</f>
        <v>37.86</v>
      </c>
      <c r="N12" s="199">
        <f>VLOOKUP(B12,合并!$B$4:$U$48,16,FALSE)</f>
        <v>1.25</v>
      </c>
      <c r="O12" s="199">
        <f>VLOOKUP(B12,合并!$B$4:$U$48,17,FALSE)</f>
        <v>469.34</v>
      </c>
      <c r="P12" s="199">
        <f>VLOOKUP(B12,合并!$B$4:$U$48,18,FALSE)</f>
        <v>445.61</v>
      </c>
      <c r="Q12" s="199">
        <f>VLOOKUP(B12,合并!$B$4:$U$48,19,FALSE)</f>
        <v>23.73</v>
      </c>
      <c r="R12" s="208"/>
    </row>
    <row r="13" ht="30.5" customHeight="1" spans="1:18">
      <c r="A13" s="197">
        <v>9</v>
      </c>
      <c r="B13" s="198" t="s">
        <v>24</v>
      </c>
      <c r="C13" s="199">
        <f>VLOOKUP(B13,合并!$B$4:$U$48,2,FALSE)</f>
        <v>17799.4</v>
      </c>
      <c r="D13" s="199">
        <f>VLOOKUP(B13,合并!$B$4:$U$48,4,FALSE)</f>
        <v>86.47</v>
      </c>
      <c r="E13" s="199">
        <f>VLOOKUP(B13,合并!$B$4:$U$48,5,FALSE)</f>
        <v>85.07</v>
      </c>
      <c r="F13" s="199">
        <f>VLOOKUP(B13,合并!$B$4:$U$48,6,FALSE)</f>
        <v>1.4</v>
      </c>
      <c r="G13" s="199">
        <f>VLOOKUP(B13,合并!$B$4:$U$48,7,FALSE)</f>
        <v>11080</v>
      </c>
      <c r="H13" s="199">
        <f>VLOOKUP(B13,合并!$B$4:$U$48,9,FALSE)</f>
        <v>53.14</v>
      </c>
      <c r="I13" s="199">
        <f>VLOOKUP(B13,合并!$B$4:$U$48,10,FALSE)</f>
        <v>41.92</v>
      </c>
      <c r="J13" s="199">
        <f>VLOOKUP(B13,合并!$B$4:$U$48,11,FALSE)</f>
        <v>11.22</v>
      </c>
      <c r="K13" s="199">
        <f>VLOOKUP(B13,合并!$B$4:$U$48,12,FALSE)</f>
        <v>24262.35</v>
      </c>
      <c r="L13" s="199">
        <f>VLOOKUP(B13,合并!$B$4:$U$48,14,FALSE)</f>
        <v>45.77</v>
      </c>
      <c r="M13" s="199">
        <f>VLOOKUP(B13,合并!$B$4:$U$48,15,FALSE)</f>
        <v>43.06</v>
      </c>
      <c r="N13" s="199">
        <f>VLOOKUP(B13,合并!$B$4:$U$48,16,FALSE)</f>
        <v>2.71</v>
      </c>
      <c r="O13" s="199">
        <f>VLOOKUP(B13,合并!$B$4:$U$48,17,FALSE)</f>
        <v>185.38</v>
      </c>
      <c r="P13" s="199">
        <f>VLOOKUP(B13,合并!$B$4:$U$48,18,FALSE)</f>
        <v>170.05</v>
      </c>
      <c r="Q13" s="199">
        <f>VLOOKUP(B13,合并!$B$4:$U$48,19,FALSE)</f>
        <v>15.33</v>
      </c>
      <c r="R13" s="208"/>
    </row>
    <row r="14" ht="30.5" customHeight="1" spans="1:18">
      <c r="A14" s="197">
        <v>10</v>
      </c>
      <c r="B14" s="198" t="s">
        <v>25</v>
      </c>
      <c r="C14" s="199">
        <f>VLOOKUP(B14,合并!$B$4:$U$48,2,FALSE)</f>
        <v>7680.8</v>
      </c>
      <c r="D14" s="199">
        <f>VLOOKUP(B14,合并!$B$4:$U$48,4,FALSE)</f>
        <v>37.91</v>
      </c>
      <c r="E14" s="199">
        <f>VLOOKUP(B14,合并!$B$4:$U$48,5,FALSE)</f>
        <v>33.39</v>
      </c>
      <c r="F14" s="199">
        <f>VLOOKUP(B14,合并!$B$4:$U$48,6,FALSE)</f>
        <v>4.52</v>
      </c>
      <c r="G14" s="199">
        <f>VLOOKUP(B14,合并!$B$4:$U$48,7,FALSE)</f>
        <v>0</v>
      </c>
      <c r="H14" s="199">
        <f>VLOOKUP(B14,合并!$B$4:$U$48,9,FALSE)</f>
        <v>0</v>
      </c>
      <c r="I14" s="199">
        <f>VLOOKUP(B14,合并!$B$4:$U$48,10,FALSE)</f>
        <v>0</v>
      </c>
      <c r="J14" s="199">
        <f>VLOOKUP(B14,合并!$B$4:$U$48,11,FALSE)</f>
        <v>0</v>
      </c>
      <c r="K14" s="199">
        <f>VLOOKUP(B14,合并!$B$4:$U$48,12,FALSE)</f>
        <v>0</v>
      </c>
      <c r="L14" s="199">
        <f>VLOOKUP(B14,合并!$B$4:$U$48,14,FALSE)</f>
        <v>0</v>
      </c>
      <c r="M14" s="199">
        <f>VLOOKUP(B14,合并!$B$4:$U$48,15,FALSE)</f>
        <v>0</v>
      </c>
      <c r="N14" s="199">
        <f>VLOOKUP(B14,合并!$B$4:$U$48,16,FALSE)</f>
        <v>0</v>
      </c>
      <c r="O14" s="199">
        <f>VLOOKUP(B14,合并!$B$4:$U$48,17,FALSE)</f>
        <v>37.91</v>
      </c>
      <c r="P14" s="199">
        <f>VLOOKUP(B14,合并!$B$4:$U$48,18,FALSE)</f>
        <v>33.39</v>
      </c>
      <c r="Q14" s="199">
        <f>VLOOKUP(B14,合并!$B$4:$U$48,19,FALSE)</f>
        <v>4.52</v>
      </c>
      <c r="R14" s="208"/>
    </row>
    <row r="15" ht="30.5" customHeight="1" spans="1:18">
      <c r="A15" s="197">
        <v>11</v>
      </c>
      <c r="B15" s="198" t="s">
        <v>26</v>
      </c>
      <c r="C15" s="199">
        <f>VLOOKUP(B15,合并!$B$4:$U$48,2,FALSE)</f>
        <v>33342.48</v>
      </c>
      <c r="D15" s="199">
        <f>VLOOKUP(B15,合并!$B$4:$U$48,4,FALSE)</f>
        <v>164.9</v>
      </c>
      <c r="E15" s="199">
        <f>VLOOKUP(B15,合并!$B$4:$U$48,5,FALSE)</f>
        <v>159.52</v>
      </c>
      <c r="F15" s="199">
        <f>VLOOKUP(B15,合并!$B$4:$U$48,6,FALSE)</f>
        <v>5.38</v>
      </c>
      <c r="G15" s="199">
        <f>VLOOKUP(B15,合并!$B$4:$U$48,7,FALSE)</f>
        <v>4844.158048</v>
      </c>
      <c r="H15" s="199">
        <f>VLOOKUP(B15,合并!$B$4:$U$48,9,FALSE)</f>
        <v>24.15</v>
      </c>
      <c r="I15" s="199">
        <f>VLOOKUP(B15,合并!$B$4:$U$48,10,FALSE)</f>
        <v>19.68</v>
      </c>
      <c r="J15" s="199">
        <f>VLOOKUP(B15,合并!$B$4:$U$48,11,FALSE)</f>
        <v>4.47</v>
      </c>
      <c r="K15" s="199">
        <f>VLOOKUP(B15,合并!$B$4:$U$48,12,FALSE)</f>
        <v>20418</v>
      </c>
      <c r="L15" s="199">
        <f>VLOOKUP(B15,合并!$B$4:$U$48,14,FALSE)</f>
        <v>18.85</v>
      </c>
      <c r="M15" s="199">
        <f>VLOOKUP(B15,合并!$B$4:$U$48,15,FALSE)</f>
        <v>18.65</v>
      </c>
      <c r="N15" s="199">
        <f>VLOOKUP(B15,合并!$B$4:$U$48,16,FALSE)</f>
        <v>0.2</v>
      </c>
      <c r="O15" s="199">
        <f>VLOOKUP(B15,合并!$B$4:$U$48,17,FALSE)</f>
        <v>207.9</v>
      </c>
      <c r="P15" s="199">
        <f>VLOOKUP(B15,合并!$B$4:$U$48,18,FALSE)</f>
        <v>197.85</v>
      </c>
      <c r="Q15" s="199">
        <f>VLOOKUP(B15,合并!$B$4:$U$48,19,FALSE)</f>
        <v>10.05</v>
      </c>
      <c r="R15" s="208"/>
    </row>
    <row r="16" ht="30.5" customHeight="1" spans="1:18">
      <c r="A16" s="197">
        <v>12</v>
      </c>
      <c r="B16" s="198" t="s">
        <v>27</v>
      </c>
      <c r="C16" s="199">
        <f>VLOOKUP(B16,合并!$B$4:$U$48,2,FALSE)</f>
        <v>12810</v>
      </c>
      <c r="D16" s="199">
        <f>VLOOKUP(B16,合并!$B$4:$U$48,4,FALSE)</f>
        <v>63.36</v>
      </c>
      <c r="E16" s="199">
        <f>VLOOKUP(B16,合并!$B$4:$U$48,5,FALSE)</f>
        <v>63.36</v>
      </c>
      <c r="F16" s="199">
        <f>VLOOKUP(B16,合并!$B$4:$U$48,6,FALSE)</f>
        <v>0</v>
      </c>
      <c r="G16" s="199">
        <f>VLOOKUP(B16,合并!$B$4:$U$48,7,FALSE)</f>
        <v>8630</v>
      </c>
      <c r="H16" s="199">
        <f>VLOOKUP(B16,合并!$B$4:$U$48,9,FALSE)</f>
        <v>43.05</v>
      </c>
      <c r="I16" s="199">
        <f>VLOOKUP(B16,合并!$B$4:$U$48,10,FALSE)</f>
        <v>43.05</v>
      </c>
      <c r="J16" s="199">
        <f>VLOOKUP(B16,合并!$B$4:$U$48,11,FALSE)</f>
        <v>0</v>
      </c>
      <c r="K16" s="199">
        <f>VLOOKUP(B16,合并!$B$4:$U$48,12,FALSE)</f>
        <v>0</v>
      </c>
      <c r="L16" s="199">
        <f>VLOOKUP(B16,合并!$B$4:$U$48,14,FALSE)</f>
        <v>0</v>
      </c>
      <c r="M16" s="199">
        <f>VLOOKUP(B16,合并!$B$4:$U$48,15,FALSE)</f>
        <v>0</v>
      </c>
      <c r="N16" s="199">
        <f>VLOOKUP(B16,合并!$B$4:$U$48,16,FALSE)</f>
        <v>0</v>
      </c>
      <c r="O16" s="199">
        <f>VLOOKUP(B16,合并!$B$4:$U$48,17,FALSE)</f>
        <v>106.41</v>
      </c>
      <c r="P16" s="199">
        <f>VLOOKUP(B16,合并!$B$4:$U$48,18,FALSE)</f>
        <v>106.41</v>
      </c>
      <c r="Q16" s="199">
        <f>VLOOKUP(B16,合并!$B$4:$U$48,19,FALSE)</f>
        <v>0</v>
      </c>
      <c r="R16" s="208"/>
    </row>
    <row r="17" ht="30.5" customHeight="1" spans="1:18">
      <c r="A17" s="197">
        <v>13</v>
      </c>
      <c r="B17" s="198" t="s">
        <v>28</v>
      </c>
      <c r="C17" s="199">
        <f>VLOOKUP(B17,合并!$B$4:$U$48,2,FALSE)</f>
        <v>7339</v>
      </c>
      <c r="D17" s="199">
        <f>VLOOKUP(B17,合并!$B$4:$U$48,4,FALSE)</f>
        <v>36.36</v>
      </c>
      <c r="E17" s="199">
        <f>VLOOKUP(B17,合并!$B$4:$U$48,5,FALSE)</f>
        <v>36.36</v>
      </c>
      <c r="F17" s="199">
        <f>VLOOKUP(B17,合并!$B$4:$U$48,6,FALSE)</f>
        <v>0</v>
      </c>
      <c r="G17" s="199">
        <f>VLOOKUP(B17,合并!$B$4:$U$48,7,FALSE)</f>
        <v>0</v>
      </c>
      <c r="H17" s="199">
        <f>VLOOKUP(B17,合并!$B$4:$U$48,9,FALSE)</f>
        <v>0</v>
      </c>
      <c r="I17" s="199">
        <f>VLOOKUP(B17,合并!$B$4:$U$48,10,FALSE)</f>
        <v>0</v>
      </c>
      <c r="J17" s="199">
        <f>VLOOKUP(B17,合并!$B$4:$U$48,11,FALSE)</f>
        <v>0</v>
      </c>
      <c r="K17" s="199">
        <f>VLOOKUP(B17,合并!$B$4:$U$48,12,FALSE)</f>
        <v>2232.9</v>
      </c>
      <c r="L17" s="199">
        <f>VLOOKUP(B17,合并!$B$4:$U$48,14,FALSE)</f>
        <v>4.46</v>
      </c>
      <c r="M17" s="199">
        <f>VLOOKUP(B17,合并!$B$4:$U$48,15,FALSE)</f>
        <v>4.46</v>
      </c>
      <c r="N17" s="199">
        <f>VLOOKUP(B17,合并!$B$4:$U$48,16,FALSE)</f>
        <v>0</v>
      </c>
      <c r="O17" s="199">
        <f>VLOOKUP(B17,合并!$B$4:$U$48,17,FALSE)</f>
        <v>40.82</v>
      </c>
      <c r="P17" s="199">
        <f>VLOOKUP(B17,合并!$B$4:$U$48,18,FALSE)</f>
        <v>40.82</v>
      </c>
      <c r="Q17" s="199">
        <f>VLOOKUP(B17,合并!$B$4:$U$48,19,FALSE)</f>
        <v>0</v>
      </c>
      <c r="R17" s="208"/>
    </row>
    <row r="18" ht="30.5" customHeight="1" spans="1:18">
      <c r="A18" s="197">
        <v>14</v>
      </c>
      <c r="B18" s="198" t="s">
        <v>29</v>
      </c>
      <c r="C18" s="199">
        <f>VLOOKUP(B18,合并!$B$4:$U$48,2,FALSE)</f>
        <v>3590</v>
      </c>
      <c r="D18" s="199">
        <f>VLOOKUP(B18,合并!$B$4:$U$48,4,FALSE)</f>
        <v>17.23</v>
      </c>
      <c r="E18" s="199">
        <f>VLOOKUP(B18,合并!$B$4:$U$48,5,FALSE)</f>
        <v>17.23</v>
      </c>
      <c r="F18" s="199">
        <f>VLOOKUP(B18,合并!$B$4:$U$48,6,FALSE)</f>
        <v>0</v>
      </c>
      <c r="G18" s="199">
        <f>VLOOKUP(B18,合并!$B$4:$U$48,7,FALSE)</f>
        <v>9900</v>
      </c>
      <c r="H18" s="199">
        <f>VLOOKUP(B18,合并!$B$4:$U$48,9,FALSE)</f>
        <v>49.37</v>
      </c>
      <c r="I18" s="199">
        <f>VLOOKUP(B18,合并!$B$4:$U$48,10,FALSE)</f>
        <v>49.37</v>
      </c>
      <c r="J18" s="199">
        <f>VLOOKUP(B18,合并!$B$4:$U$48,11,FALSE)</f>
        <v>0</v>
      </c>
      <c r="K18" s="199">
        <f>VLOOKUP(B18,合并!$B$4:$U$48,12,FALSE)</f>
        <v>0</v>
      </c>
      <c r="L18" s="199">
        <f>VLOOKUP(B18,合并!$B$4:$U$48,14,FALSE)</f>
        <v>0</v>
      </c>
      <c r="M18" s="199">
        <f>VLOOKUP(B18,合并!$B$4:$U$48,15,FALSE)</f>
        <v>0</v>
      </c>
      <c r="N18" s="199">
        <f>VLOOKUP(B18,合并!$B$4:$U$48,16,FALSE)</f>
        <v>0</v>
      </c>
      <c r="O18" s="199">
        <f>VLOOKUP(B18,合并!$B$4:$U$48,17,FALSE)</f>
        <v>66.6</v>
      </c>
      <c r="P18" s="199">
        <f>VLOOKUP(B18,合并!$B$4:$U$48,18,FALSE)</f>
        <v>66.6</v>
      </c>
      <c r="Q18" s="199">
        <f>VLOOKUP(B18,合并!$B$4:$U$48,19,FALSE)</f>
        <v>0</v>
      </c>
      <c r="R18" s="208"/>
    </row>
    <row r="19" ht="30.5" customHeight="1" spans="1:18">
      <c r="A19" s="197">
        <v>15</v>
      </c>
      <c r="B19" s="198" t="s">
        <v>30</v>
      </c>
      <c r="C19" s="199">
        <f>VLOOKUP(B19,合并!$B$4:$U$48,2,FALSE)</f>
        <v>6020</v>
      </c>
      <c r="D19" s="199">
        <f>VLOOKUP(B19,合并!$B$4:$U$48,4,FALSE)</f>
        <v>29.87</v>
      </c>
      <c r="E19" s="199">
        <f>VLOOKUP(B19,合并!$B$4:$U$48,5,FALSE)</f>
        <v>27.38</v>
      </c>
      <c r="F19" s="199">
        <f>VLOOKUP(B19,合并!$B$4:$U$48,6,FALSE)</f>
        <v>2.49</v>
      </c>
      <c r="G19" s="199">
        <f>VLOOKUP(B19,合并!$B$4:$U$48,7,FALSE)</f>
        <v>3200</v>
      </c>
      <c r="H19" s="199">
        <f>VLOOKUP(B19,合并!$B$4:$U$48,9,FALSE)</f>
        <v>15.95</v>
      </c>
      <c r="I19" s="199">
        <f>VLOOKUP(B19,合并!$B$4:$U$48,10,FALSE)</f>
        <v>15.95</v>
      </c>
      <c r="J19" s="199">
        <f>VLOOKUP(B19,合并!$B$4:$U$48,11,FALSE)</f>
        <v>0</v>
      </c>
      <c r="K19" s="199">
        <f>VLOOKUP(B19,合并!$B$4:$U$48,12,FALSE)</f>
        <v>0</v>
      </c>
      <c r="L19" s="199">
        <f>VLOOKUP(B19,合并!$B$4:$U$48,14,FALSE)</f>
        <v>0</v>
      </c>
      <c r="M19" s="199">
        <f>VLOOKUP(B19,合并!$B$4:$U$48,15,FALSE)</f>
        <v>0</v>
      </c>
      <c r="N19" s="199">
        <f>VLOOKUP(B19,合并!$B$4:$U$48,16,FALSE)</f>
        <v>0</v>
      </c>
      <c r="O19" s="199">
        <f>VLOOKUP(B19,合并!$B$4:$U$48,17,FALSE)</f>
        <v>45.82</v>
      </c>
      <c r="P19" s="199">
        <f>VLOOKUP(B19,合并!$B$4:$U$48,18,FALSE)</f>
        <v>43.33</v>
      </c>
      <c r="Q19" s="199">
        <f>VLOOKUP(B19,合并!$B$4:$U$48,19,FALSE)</f>
        <v>2.49</v>
      </c>
      <c r="R19" s="208"/>
    </row>
    <row r="20" s="187" customFormat="1" ht="30.5" customHeight="1" spans="1:18">
      <c r="A20" s="197">
        <v>16</v>
      </c>
      <c r="B20" s="198" t="s">
        <v>31</v>
      </c>
      <c r="C20" s="199">
        <f>VLOOKUP(B20,合并!$B$4:$U$48,2,FALSE)</f>
        <v>3705</v>
      </c>
      <c r="D20" s="199">
        <f>VLOOKUP(B20,合并!$B$4:$U$48,4,FALSE)</f>
        <v>18.51</v>
      </c>
      <c r="E20" s="199">
        <f>VLOOKUP(B20,合并!$B$4:$U$48,5,FALSE)</f>
        <v>11.5</v>
      </c>
      <c r="F20" s="199">
        <f>VLOOKUP(B20,合并!$B$4:$U$48,6,FALSE)</f>
        <v>7.01</v>
      </c>
      <c r="G20" s="199">
        <f>VLOOKUP(B20,合并!$B$4:$U$48,7,FALSE)</f>
        <v>900</v>
      </c>
      <c r="H20" s="199">
        <f>VLOOKUP(B20,合并!$B$4:$U$48,9,FALSE)</f>
        <v>4.5</v>
      </c>
      <c r="I20" s="199">
        <f>VLOOKUP(B20,合并!$B$4:$U$48,10,FALSE)</f>
        <v>4.5</v>
      </c>
      <c r="J20" s="199">
        <f>VLOOKUP(B20,合并!$B$4:$U$48,11,FALSE)</f>
        <v>0</v>
      </c>
      <c r="K20" s="199">
        <f>VLOOKUP(B20,合并!$B$4:$U$48,12,FALSE)</f>
        <v>0</v>
      </c>
      <c r="L20" s="199">
        <f>VLOOKUP(B20,合并!$B$4:$U$48,14,FALSE)</f>
        <v>0</v>
      </c>
      <c r="M20" s="199">
        <f>VLOOKUP(B20,合并!$B$4:$U$48,15,FALSE)</f>
        <v>0</v>
      </c>
      <c r="N20" s="199">
        <f>VLOOKUP(B20,合并!$B$4:$U$48,16,FALSE)</f>
        <v>0</v>
      </c>
      <c r="O20" s="199">
        <f>VLOOKUP(B20,合并!$B$4:$U$48,17,FALSE)</f>
        <v>23.01</v>
      </c>
      <c r="P20" s="199">
        <f>VLOOKUP(B20,合并!$B$4:$U$48,18,FALSE)</f>
        <v>16</v>
      </c>
      <c r="Q20" s="199">
        <f>VLOOKUP(B20,合并!$B$4:$U$48,19,FALSE)</f>
        <v>7.01</v>
      </c>
      <c r="R20" s="208"/>
    </row>
    <row r="21" ht="30.5" customHeight="1" spans="1:18">
      <c r="A21" s="197">
        <v>17</v>
      </c>
      <c r="B21" s="198" t="s">
        <v>32</v>
      </c>
      <c r="C21" s="199">
        <f>VLOOKUP(B21,合并!$B$4:$U$48,2,FALSE)</f>
        <v>6266</v>
      </c>
      <c r="D21" s="199">
        <f>VLOOKUP(B21,合并!$B$4:$U$48,4,FALSE)</f>
        <v>31.2</v>
      </c>
      <c r="E21" s="199">
        <f>VLOOKUP(B21,合并!$B$4:$U$48,5,FALSE)</f>
        <v>31.2</v>
      </c>
      <c r="F21" s="199">
        <f>VLOOKUP(B21,合并!$B$4:$U$48,6,FALSE)</f>
        <v>0</v>
      </c>
      <c r="G21" s="199">
        <f>VLOOKUP(B21,合并!$B$4:$U$48,7,FALSE)</f>
        <v>1000</v>
      </c>
      <c r="H21" s="199">
        <f>VLOOKUP(B21,合并!$B$4:$U$48,9,FALSE)</f>
        <v>4.99</v>
      </c>
      <c r="I21" s="199">
        <f>VLOOKUP(B21,合并!$B$4:$U$48,10,FALSE)</f>
        <v>4.99</v>
      </c>
      <c r="J21" s="199">
        <f>VLOOKUP(B21,合并!$B$4:$U$48,11,FALSE)</f>
        <v>0</v>
      </c>
      <c r="K21" s="199">
        <f>VLOOKUP(B21,合并!$B$4:$U$48,12,FALSE)</f>
        <v>0</v>
      </c>
      <c r="L21" s="199">
        <f>VLOOKUP(B21,合并!$B$4:$U$48,14,FALSE)</f>
        <v>0</v>
      </c>
      <c r="M21" s="199">
        <f>VLOOKUP(B21,合并!$B$4:$U$48,15,FALSE)</f>
        <v>0</v>
      </c>
      <c r="N21" s="199">
        <f>VLOOKUP(B21,合并!$B$4:$U$48,16,FALSE)</f>
        <v>0</v>
      </c>
      <c r="O21" s="199">
        <f>VLOOKUP(B21,合并!$B$4:$U$48,17,FALSE)</f>
        <v>36.19</v>
      </c>
      <c r="P21" s="199">
        <f>VLOOKUP(B21,合并!$B$4:$U$48,18,FALSE)</f>
        <v>36.19</v>
      </c>
      <c r="Q21" s="199">
        <f>VLOOKUP(B21,合并!$B$4:$U$48,19,FALSE)</f>
        <v>0</v>
      </c>
      <c r="R21" s="208"/>
    </row>
    <row r="22" ht="30.5" customHeight="1" spans="1:18">
      <c r="A22" s="197">
        <v>18</v>
      </c>
      <c r="B22" s="198" t="s">
        <v>33</v>
      </c>
      <c r="C22" s="199">
        <f>VLOOKUP(B22,合并!$B$4:$U$48,2,FALSE)</f>
        <v>16140</v>
      </c>
      <c r="D22" s="199">
        <f>VLOOKUP(B22,合并!$B$4:$U$48,4,FALSE)</f>
        <v>79.19</v>
      </c>
      <c r="E22" s="199">
        <f>VLOOKUP(B22,合并!$B$4:$U$48,5,FALSE)</f>
        <v>60.69</v>
      </c>
      <c r="F22" s="199">
        <f>VLOOKUP(B22,合并!$B$4:$U$48,6,FALSE)</f>
        <v>18.5</v>
      </c>
      <c r="G22" s="199">
        <f>VLOOKUP(B22,合并!$B$4:$U$48,7,FALSE)</f>
        <v>920</v>
      </c>
      <c r="H22" s="199">
        <f>VLOOKUP(B22,合并!$B$4:$U$48,9,FALSE)</f>
        <v>4.6</v>
      </c>
      <c r="I22" s="199">
        <f>VLOOKUP(B22,合并!$B$4:$U$48,10,FALSE)</f>
        <v>4.6</v>
      </c>
      <c r="J22" s="199">
        <f>VLOOKUP(B22,合并!$B$4:$U$48,11,FALSE)</f>
        <v>0</v>
      </c>
      <c r="K22" s="199">
        <f>VLOOKUP(B22,合并!$B$4:$U$48,12,FALSE)</f>
        <v>0</v>
      </c>
      <c r="L22" s="199">
        <f>VLOOKUP(B22,合并!$B$4:$U$48,14,FALSE)</f>
        <v>0</v>
      </c>
      <c r="M22" s="199">
        <f>VLOOKUP(B22,合并!$B$4:$U$48,15,FALSE)</f>
        <v>0</v>
      </c>
      <c r="N22" s="199">
        <f>VLOOKUP(B22,合并!$B$4:$U$48,16,FALSE)</f>
        <v>0</v>
      </c>
      <c r="O22" s="199">
        <f>VLOOKUP(B22,合并!$B$4:$U$48,17,FALSE)</f>
        <v>83.79</v>
      </c>
      <c r="P22" s="199">
        <f>VLOOKUP(B22,合并!$B$4:$U$48,18,FALSE)</f>
        <v>65.29</v>
      </c>
      <c r="Q22" s="199">
        <f>VLOOKUP(B22,合并!$B$4:$U$48,19,FALSE)</f>
        <v>18.5</v>
      </c>
      <c r="R22" s="208"/>
    </row>
    <row r="23" ht="30.5" customHeight="1" spans="1:18">
      <c r="A23" s="197">
        <v>19</v>
      </c>
      <c r="B23" s="198" t="s">
        <v>34</v>
      </c>
      <c r="C23" s="199">
        <f>VLOOKUP(B23,合并!$B$4:$U$48,2,FALSE)</f>
        <v>7562</v>
      </c>
      <c r="D23" s="199">
        <f>VLOOKUP(B23,合并!$B$4:$U$48,4,FALSE)</f>
        <v>36.64</v>
      </c>
      <c r="E23" s="199">
        <f>VLOOKUP(B23,合并!$B$4:$U$48,5,FALSE)</f>
        <v>33.14</v>
      </c>
      <c r="F23" s="199">
        <f>VLOOKUP(B23,合并!$B$4:$U$48,6,FALSE)</f>
        <v>3.5</v>
      </c>
      <c r="G23" s="199">
        <f>VLOOKUP(B23,合并!$B$4:$U$48,7,FALSE)</f>
        <v>3460</v>
      </c>
      <c r="H23" s="199">
        <f>VLOOKUP(B23,合并!$B$4:$U$48,9,FALSE)</f>
        <v>14.77</v>
      </c>
      <c r="I23" s="199">
        <f>VLOOKUP(B23,合并!$B$4:$U$48,10,FALSE)</f>
        <v>14.77</v>
      </c>
      <c r="J23" s="199">
        <f>VLOOKUP(B23,合并!$B$4:$U$48,11,FALSE)</f>
        <v>0</v>
      </c>
      <c r="K23" s="199">
        <f>VLOOKUP(B23,合并!$B$4:$U$48,12,FALSE)</f>
        <v>47417.1</v>
      </c>
      <c r="L23" s="199">
        <f>VLOOKUP(B23,合并!$B$4:$U$48,14,FALSE)</f>
        <v>77.17</v>
      </c>
      <c r="M23" s="199">
        <f>VLOOKUP(B23,合并!$B$4:$U$48,15,FALSE)</f>
        <v>74.71</v>
      </c>
      <c r="N23" s="199">
        <f>VLOOKUP(B23,合并!$B$4:$U$48,16,FALSE)</f>
        <v>2.46</v>
      </c>
      <c r="O23" s="199">
        <f>VLOOKUP(B23,合并!$B$4:$U$48,17,FALSE)</f>
        <v>128.58</v>
      </c>
      <c r="P23" s="199">
        <f>VLOOKUP(B23,合并!$B$4:$U$48,18,FALSE)</f>
        <v>122.62</v>
      </c>
      <c r="Q23" s="199">
        <f>VLOOKUP(B23,合并!$B$4:$U$48,19,FALSE)</f>
        <v>5.96</v>
      </c>
      <c r="R23" s="208"/>
    </row>
    <row r="24" ht="30.5" customHeight="1" spans="1:18">
      <c r="A24" s="197">
        <v>20</v>
      </c>
      <c r="B24" s="198" t="s">
        <v>35</v>
      </c>
      <c r="C24" s="199">
        <f>VLOOKUP(B24,合并!$B$4:$U$48,2,FALSE)</f>
        <v>4308</v>
      </c>
      <c r="D24" s="199">
        <f>VLOOKUP(B24,合并!$B$4:$U$48,4,FALSE)</f>
        <v>21.53</v>
      </c>
      <c r="E24" s="199">
        <f>VLOOKUP(B24,合并!$B$4:$U$48,5,FALSE)</f>
        <v>21.53</v>
      </c>
      <c r="F24" s="199">
        <f>VLOOKUP(B24,合并!$B$4:$U$48,6,FALSE)</f>
        <v>0</v>
      </c>
      <c r="G24" s="199">
        <f>VLOOKUP(B24,合并!$B$4:$U$48,7,FALSE)</f>
        <v>1000</v>
      </c>
      <c r="H24" s="199">
        <f>VLOOKUP(B24,合并!$B$4:$U$48,9,FALSE)</f>
        <v>5</v>
      </c>
      <c r="I24" s="199">
        <f>VLOOKUP(B24,合并!$B$4:$U$48,10,FALSE)</f>
        <v>5</v>
      </c>
      <c r="J24" s="199">
        <f>VLOOKUP(B24,合并!$B$4:$U$48,11,FALSE)</f>
        <v>0</v>
      </c>
      <c r="K24" s="199">
        <f>VLOOKUP(B24,合并!$B$4:$U$48,12,FALSE)</f>
        <v>0</v>
      </c>
      <c r="L24" s="199">
        <f>VLOOKUP(B24,合并!$B$4:$U$48,14,FALSE)</f>
        <v>0</v>
      </c>
      <c r="M24" s="199">
        <f>VLOOKUP(B24,合并!$B$4:$U$48,15,FALSE)</f>
        <v>0</v>
      </c>
      <c r="N24" s="199">
        <f>VLOOKUP(B24,合并!$B$4:$U$48,16,FALSE)</f>
        <v>0</v>
      </c>
      <c r="O24" s="199">
        <f>VLOOKUP(B24,合并!$B$4:$U$48,17,FALSE)</f>
        <v>26.53</v>
      </c>
      <c r="P24" s="199">
        <f>VLOOKUP(B24,合并!$B$4:$U$48,18,FALSE)</f>
        <v>26.53</v>
      </c>
      <c r="Q24" s="199">
        <f>VLOOKUP(B24,合并!$B$4:$U$48,19,FALSE)</f>
        <v>0</v>
      </c>
      <c r="R24" s="208"/>
    </row>
    <row r="25" ht="30.5" customHeight="1" spans="1:18">
      <c r="A25" s="197">
        <v>21</v>
      </c>
      <c r="B25" s="198" t="s">
        <v>36</v>
      </c>
      <c r="C25" s="199">
        <f>VLOOKUP(B25,合并!$B$4:$U$48,2,FALSE)</f>
        <v>5257.889271</v>
      </c>
      <c r="D25" s="199">
        <f>VLOOKUP(B25,合并!$B$4:$U$48,4,FALSE)</f>
        <v>23.93</v>
      </c>
      <c r="E25" s="199">
        <f>VLOOKUP(B25,合并!$B$4:$U$48,5,FALSE)</f>
        <v>23.86</v>
      </c>
      <c r="F25" s="199">
        <f>VLOOKUP(B25,合并!$B$4:$U$48,6,FALSE)</f>
        <v>0.07</v>
      </c>
      <c r="G25" s="199">
        <f>VLOOKUP(B25,合并!$B$4:$U$48,7,FALSE)</f>
        <v>700</v>
      </c>
      <c r="H25" s="199">
        <f>VLOOKUP(B25,合并!$B$4:$U$48,9,FALSE)</f>
        <v>3.5</v>
      </c>
      <c r="I25" s="199">
        <f>VLOOKUP(B25,合并!$B$4:$U$48,10,FALSE)</f>
        <v>3.5</v>
      </c>
      <c r="J25" s="199">
        <f>VLOOKUP(B25,合并!$B$4:$U$48,11,FALSE)</f>
        <v>0</v>
      </c>
      <c r="K25" s="199">
        <f>VLOOKUP(B25,合并!$B$4:$U$48,12,FALSE)</f>
        <v>0</v>
      </c>
      <c r="L25" s="199">
        <f>VLOOKUP(B25,合并!$B$4:$U$48,14,FALSE)</f>
        <v>0</v>
      </c>
      <c r="M25" s="199">
        <f>VLOOKUP(B25,合并!$B$4:$U$48,15,FALSE)</f>
        <v>0</v>
      </c>
      <c r="N25" s="199">
        <f>VLOOKUP(B25,合并!$B$4:$U$48,16,FALSE)</f>
        <v>0</v>
      </c>
      <c r="O25" s="199">
        <f>VLOOKUP(B25,合并!$B$4:$U$48,17,FALSE)</f>
        <v>27.43</v>
      </c>
      <c r="P25" s="199">
        <f>VLOOKUP(B25,合并!$B$4:$U$48,18,FALSE)</f>
        <v>27.36</v>
      </c>
      <c r="Q25" s="199">
        <f>VLOOKUP(B25,合并!$B$4:$U$48,19,FALSE)</f>
        <v>0.07</v>
      </c>
      <c r="R25" s="208"/>
    </row>
    <row r="26" ht="30.5" customHeight="1" spans="1:18">
      <c r="A26" s="197">
        <v>22</v>
      </c>
      <c r="B26" s="198" t="s">
        <v>37</v>
      </c>
      <c r="C26" s="199">
        <f>VLOOKUP(B26,合并!$B$4:$U$48,2,FALSE)</f>
        <v>7718</v>
      </c>
      <c r="D26" s="199">
        <f>VLOOKUP(B26,合并!$B$4:$U$48,4,FALSE)</f>
        <v>37.66</v>
      </c>
      <c r="E26" s="199">
        <f>VLOOKUP(B26,合并!$B$4:$U$48,5,FALSE)</f>
        <v>37.65</v>
      </c>
      <c r="F26" s="199">
        <f>VLOOKUP(B26,合并!$B$4:$U$48,6,FALSE)</f>
        <v>0.01</v>
      </c>
      <c r="G26" s="199">
        <f>VLOOKUP(B26,合并!$B$4:$U$48,7,FALSE)</f>
        <v>1000</v>
      </c>
      <c r="H26" s="199">
        <f>VLOOKUP(B26,合并!$B$4:$U$48,9,FALSE)</f>
        <v>5</v>
      </c>
      <c r="I26" s="199">
        <f>VLOOKUP(B26,合并!$B$4:$U$48,10,FALSE)</f>
        <v>5</v>
      </c>
      <c r="J26" s="199">
        <f>VLOOKUP(B26,合并!$B$4:$U$48,11,FALSE)</f>
        <v>0</v>
      </c>
      <c r="K26" s="199">
        <f>VLOOKUP(B26,合并!$B$4:$U$48,12,FALSE)</f>
        <v>0</v>
      </c>
      <c r="L26" s="199">
        <f>VLOOKUP(B26,合并!$B$4:$U$48,14,FALSE)</f>
        <v>0</v>
      </c>
      <c r="M26" s="199">
        <f>VLOOKUP(B26,合并!$B$4:$U$48,15,FALSE)</f>
        <v>0</v>
      </c>
      <c r="N26" s="199">
        <f>VLOOKUP(B26,合并!$B$4:$U$48,16,FALSE)</f>
        <v>0</v>
      </c>
      <c r="O26" s="199">
        <f>VLOOKUP(B26,合并!$B$4:$U$48,17,FALSE)</f>
        <v>42.66</v>
      </c>
      <c r="P26" s="199">
        <f>VLOOKUP(B26,合并!$B$4:$U$48,18,FALSE)</f>
        <v>42.65</v>
      </c>
      <c r="Q26" s="199">
        <f>VLOOKUP(B26,合并!$B$4:$U$48,19,FALSE)</f>
        <v>0.01</v>
      </c>
      <c r="R26" s="208"/>
    </row>
    <row r="27" ht="30.5" customHeight="1" spans="1:18">
      <c r="A27" s="197">
        <v>23</v>
      </c>
      <c r="B27" s="198" t="s">
        <v>38</v>
      </c>
      <c r="C27" s="199">
        <f>VLOOKUP(B27,合并!$B$4:$U$48,2,FALSE)</f>
        <v>2520</v>
      </c>
      <c r="D27" s="199">
        <f>VLOOKUP(B27,合并!$B$4:$U$48,4,FALSE)</f>
        <v>10</v>
      </c>
      <c r="E27" s="199">
        <f>VLOOKUP(B27,合并!$B$4:$U$48,5,FALSE)</f>
        <v>6.29</v>
      </c>
      <c r="F27" s="199">
        <f>VLOOKUP(B27,合并!$B$4:$U$48,6,FALSE)</f>
        <v>3.71</v>
      </c>
      <c r="G27" s="199">
        <f>VLOOKUP(B27,合并!$B$4:$U$48,7,FALSE)</f>
        <v>2800</v>
      </c>
      <c r="H27" s="199">
        <f>VLOOKUP(B27,合并!$B$4:$U$48,9,FALSE)</f>
        <v>11.56</v>
      </c>
      <c r="I27" s="199">
        <f>VLOOKUP(B27,合并!$B$4:$U$48,10,FALSE)</f>
        <v>7.57</v>
      </c>
      <c r="J27" s="199">
        <f>VLOOKUP(B27,合并!$B$4:$U$48,11,FALSE)</f>
        <v>3.99</v>
      </c>
      <c r="K27" s="199">
        <f>VLOOKUP(B27,合并!$B$4:$U$48,12,FALSE)</f>
        <v>0</v>
      </c>
      <c r="L27" s="199">
        <f>VLOOKUP(B27,合并!$B$4:$U$48,14,FALSE)</f>
        <v>0</v>
      </c>
      <c r="M27" s="199">
        <f>VLOOKUP(B27,合并!$B$4:$U$48,15,FALSE)</f>
        <v>0</v>
      </c>
      <c r="N27" s="199">
        <f>VLOOKUP(B27,合并!$B$4:$U$48,16,FALSE)</f>
        <v>0</v>
      </c>
      <c r="O27" s="199">
        <f>VLOOKUP(B27,合并!$B$4:$U$48,17,FALSE)</f>
        <v>21.56</v>
      </c>
      <c r="P27" s="199">
        <f>VLOOKUP(B27,合并!$B$4:$U$48,18,FALSE)</f>
        <v>13.86</v>
      </c>
      <c r="Q27" s="199">
        <f>VLOOKUP(B27,合并!$B$4:$U$48,19,FALSE)</f>
        <v>7.7</v>
      </c>
      <c r="R27" s="208"/>
    </row>
    <row r="28" ht="30.5" customHeight="1" spans="1:18">
      <c r="A28" s="197">
        <v>24</v>
      </c>
      <c r="B28" s="198" t="s">
        <v>39</v>
      </c>
      <c r="C28" s="199">
        <f>VLOOKUP(B28,合并!$B$4:$U$48,2,FALSE)</f>
        <v>1179.9999</v>
      </c>
      <c r="D28" s="199">
        <f>VLOOKUP(B28,合并!$B$4:$U$48,4,FALSE)</f>
        <v>5.9</v>
      </c>
      <c r="E28" s="199">
        <f>VLOOKUP(B28,合并!$B$4:$U$48,5,FALSE)</f>
        <v>5.9</v>
      </c>
      <c r="F28" s="199">
        <f>VLOOKUP(B28,合并!$B$4:$U$48,6,FALSE)</f>
        <v>0</v>
      </c>
      <c r="G28" s="199">
        <f>VLOOKUP(B28,合并!$B$4:$U$48,7,FALSE)</f>
        <v>0</v>
      </c>
      <c r="H28" s="199">
        <f>VLOOKUP(B28,合并!$B$4:$U$48,9,FALSE)</f>
        <v>0</v>
      </c>
      <c r="I28" s="199">
        <f>VLOOKUP(B28,合并!$B$4:$U$48,10,FALSE)</f>
        <v>0</v>
      </c>
      <c r="J28" s="199">
        <f>VLOOKUP(B28,合并!$B$4:$U$48,11,FALSE)</f>
        <v>0</v>
      </c>
      <c r="K28" s="199">
        <f>VLOOKUP(B28,合并!$B$4:$U$48,12,FALSE)</f>
        <v>0</v>
      </c>
      <c r="L28" s="199">
        <f>VLOOKUP(B28,合并!$B$4:$U$48,14,FALSE)</f>
        <v>0</v>
      </c>
      <c r="M28" s="199">
        <f>VLOOKUP(B28,合并!$B$4:$U$48,15,FALSE)</f>
        <v>0</v>
      </c>
      <c r="N28" s="199">
        <f>VLOOKUP(B28,合并!$B$4:$U$48,16,FALSE)</f>
        <v>0</v>
      </c>
      <c r="O28" s="199">
        <f>VLOOKUP(B28,合并!$B$4:$U$48,17,FALSE)</f>
        <v>5.9</v>
      </c>
      <c r="P28" s="199">
        <f>VLOOKUP(B28,合并!$B$4:$U$48,18,FALSE)</f>
        <v>5.9</v>
      </c>
      <c r="Q28" s="199">
        <f>VLOOKUP(B28,合并!$B$4:$U$48,19,FALSE)</f>
        <v>0</v>
      </c>
      <c r="R28" s="208"/>
    </row>
    <row r="29" ht="30.5" customHeight="1" spans="1:18">
      <c r="A29" s="197">
        <v>25</v>
      </c>
      <c r="B29" s="198" t="s">
        <v>40</v>
      </c>
      <c r="C29" s="199">
        <f>VLOOKUP(B29,合并!$B$4:$U$48,2,FALSE)</f>
        <v>10241.43</v>
      </c>
      <c r="D29" s="199">
        <f>VLOOKUP(B29,合并!$B$4:$U$48,4,FALSE)</f>
        <v>49.66</v>
      </c>
      <c r="E29" s="199">
        <f>VLOOKUP(B29,合并!$B$4:$U$48,5,FALSE)</f>
        <v>28.95</v>
      </c>
      <c r="F29" s="199">
        <f>VLOOKUP(B29,合并!$B$4:$U$48,6,FALSE)</f>
        <v>20.71</v>
      </c>
      <c r="G29" s="199">
        <f>VLOOKUP(B29,合并!$B$4:$U$48,7,FALSE)</f>
        <v>7600</v>
      </c>
      <c r="H29" s="199">
        <f>VLOOKUP(B29,合并!$B$4:$U$48,9,FALSE)</f>
        <v>37.92</v>
      </c>
      <c r="I29" s="199">
        <f>VLOOKUP(B29,合并!$B$4:$U$48,10,FALSE)</f>
        <v>16.48</v>
      </c>
      <c r="J29" s="199">
        <f>VLOOKUP(B29,合并!$B$4:$U$48,11,FALSE)</f>
        <v>21.44</v>
      </c>
      <c r="K29" s="199">
        <f>VLOOKUP(B29,合并!$B$4:$U$48,12,FALSE)</f>
        <v>0</v>
      </c>
      <c r="L29" s="199">
        <f>VLOOKUP(B29,合并!$B$4:$U$48,14,FALSE)</f>
        <v>0</v>
      </c>
      <c r="M29" s="199">
        <f>VLOOKUP(B29,合并!$B$4:$U$48,15,FALSE)</f>
        <v>0</v>
      </c>
      <c r="N29" s="199">
        <f>VLOOKUP(B29,合并!$B$4:$U$48,16,FALSE)</f>
        <v>0</v>
      </c>
      <c r="O29" s="199">
        <f>VLOOKUP(B29,合并!$B$4:$U$48,17,FALSE)</f>
        <v>87.58</v>
      </c>
      <c r="P29" s="199">
        <f>VLOOKUP(B29,合并!$B$4:$U$48,18,FALSE)</f>
        <v>45.43</v>
      </c>
      <c r="Q29" s="199">
        <f>VLOOKUP(B29,合并!$B$4:$U$48,19,FALSE)</f>
        <v>42.15</v>
      </c>
      <c r="R29" s="208"/>
    </row>
    <row r="30" ht="30.5" customHeight="1" spans="1:18">
      <c r="A30" s="197">
        <v>26</v>
      </c>
      <c r="B30" s="198" t="s">
        <v>41</v>
      </c>
      <c r="C30" s="199">
        <f>VLOOKUP(B30,合并!$B$4:$U$48,2,FALSE)</f>
        <v>8834</v>
      </c>
      <c r="D30" s="199">
        <f>VLOOKUP(B30,合并!$B$4:$U$48,4,FALSE)</f>
        <v>44.51</v>
      </c>
      <c r="E30" s="199">
        <f>VLOOKUP(B30,合并!$B$4:$U$48,5,FALSE)</f>
        <v>43.99</v>
      </c>
      <c r="F30" s="199">
        <f>VLOOKUP(B30,合并!$B$4:$U$48,6,FALSE)</f>
        <v>0.52</v>
      </c>
      <c r="G30" s="199">
        <f>VLOOKUP(B30,合并!$B$4:$U$48,7,FALSE)</f>
        <v>1600</v>
      </c>
      <c r="H30" s="199">
        <f>VLOOKUP(B30,合并!$B$4:$U$48,9,FALSE)</f>
        <v>7.98</v>
      </c>
      <c r="I30" s="199">
        <f>VLOOKUP(B30,合并!$B$4:$U$48,10,FALSE)</f>
        <v>3.98</v>
      </c>
      <c r="J30" s="199">
        <f>VLOOKUP(B30,合并!$B$4:$U$48,11,FALSE)</f>
        <v>4</v>
      </c>
      <c r="K30" s="199">
        <f>VLOOKUP(B30,合并!$B$4:$U$48,12,FALSE)</f>
        <v>0</v>
      </c>
      <c r="L30" s="199">
        <f>VLOOKUP(B30,合并!$B$4:$U$48,14,FALSE)</f>
        <v>0</v>
      </c>
      <c r="M30" s="199">
        <f>VLOOKUP(B30,合并!$B$4:$U$48,15,FALSE)</f>
        <v>0</v>
      </c>
      <c r="N30" s="199">
        <f>VLOOKUP(B30,合并!$B$4:$U$48,16,FALSE)</f>
        <v>0</v>
      </c>
      <c r="O30" s="199">
        <f>VLOOKUP(B30,合并!$B$4:$U$48,17,FALSE)</f>
        <v>52.49</v>
      </c>
      <c r="P30" s="199">
        <f>VLOOKUP(B30,合并!$B$4:$U$48,18,FALSE)</f>
        <v>47.97</v>
      </c>
      <c r="Q30" s="199">
        <f>VLOOKUP(B30,合并!$B$4:$U$48,19,FALSE)</f>
        <v>4.52</v>
      </c>
      <c r="R30" s="208"/>
    </row>
    <row r="31" ht="30.5" customHeight="1" spans="1:18">
      <c r="A31" s="197">
        <v>27</v>
      </c>
      <c r="B31" s="198" t="s">
        <v>42</v>
      </c>
      <c r="C31" s="199">
        <f>VLOOKUP(B31,合并!$B$4:$U$48,2,FALSE)</f>
        <v>200</v>
      </c>
      <c r="D31" s="199">
        <f>VLOOKUP(B31,合并!$B$4:$U$48,4,FALSE)</f>
        <v>0.94</v>
      </c>
      <c r="E31" s="199">
        <f>VLOOKUP(B31,合并!$B$4:$U$48,5,FALSE)</f>
        <v>0.94</v>
      </c>
      <c r="F31" s="199">
        <f>VLOOKUP(B31,合并!$B$4:$U$48,6,FALSE)</f>
        <v>0</v>
      </c>
      <c r="G31" s="199">
        <f>VLOOKUP(B31,合并!$B$4:$U$48,7,FALSE)</f>
        <v>0</v>
      </c>
      <c r="H31" s="199">
        <f>VLOOKUP(B31,合并!$B$4:$U$48,9,FALSE)</f>
        <v>0</v>
      </c>
      <c r="I31" s="199">
        <f>VLOOKUP(B31,合并!$B$4:$U$48,10,FALSE)</f>
        <v>0</v>
      </c>
      <c r="J31" s="199">
        <f>VLOOKUP(B31,合并!$B$4:$U$48,11,FALSE)</f>
        <v>0</v>
      </c>
      <c r="K31" s="199">
        <f>VLOOKUP(B31,合并!$B$4:$U$48,12,FALSE)</f>
        <v>164900.398375</v>
      </c>
      <c r="L31" s="199">
        <f>VLOOKUP(B31,合并!$B$4:$U$48,14,FALSE)</f>
        <v>324.739999999997</v>
      </c>
      <c r="M31" s="199">
        <f>VLOOKUP(B31,合并!$B$4:$U$48,15,FALSE)</f>
        <v>321.089999999997</v>
      </c>
      <c r="N31" s="199">
        <f>VLOOKUP(B31,合并!$B$4:$U$48,16,FALSE)</f>
        <v>3.65</v>
      </c>
      <c r="O31" s="199">
        <f>VLOOKUP(B31,合并!$B$4:$U$48,17,FALSE)</f>
        <v>325.679999999997</v>
      </c>
      <c r="P31" s="199">
        <f>VLOOKUP(B31,合并!$B$4:$U$48,18,FALSE)</f>
        <v>322.029999999997</v>
      </c>
      <c r="Q31" s="199">
        <f>VLOOKUP(B31,合并!$B$4:$U$48,19,FALSE)</f>
        <v>3.65</v>
      </c>
      <c r="R31" s="208"/>
    </row>
    <row r="32" ht="30.5" customHeight="1" spans="1:18">
      <c r="A32" s="197">
        <v>28</v>
      </c>
      <c r="B32" s="198" t="s">
        <v>43</v>
      </c>
      <c r="C32" s="199">
        <f>VLOOKUP(B32,合并!$B$4:$U$48,2,FALSE)</f>
        <v>500</v>
      </c>
      <c r="D32" s="199">
        <f>VLOOKUP(B32,合并!$B$4:$U$48,4,FALSE)</f>
        <v>2.5</v>
      </c>
      <c r="E32" s="199">
        <f>VLOOKUP(B32,合并!$B$4:$U$48,5,FALSE)</f>
        <v>2.5</v>
      </c>
      <c r="F32" s="199">
        <f>VLOOKUP(B32,合并!$B$4:$U$48,6,FALSE)</f>
        <v>0</v>
      </c>
      <c r="G32" s="199">
        <f>VLOOKUP(B32,合并!$B$4:$U$48,7,FALSE)</f>
        <v>0</v>
      </c>
      <c r="H32" s="199">
        <f>VLOOKUP(B32,合并!$B$4:$U$48,9,FALSE)</f>
        <v>0</v>
      </c>
      <c r="I32" s="199">
        <f>VLOOKUP(B32,合并!$B$4:$U$48,10,FALSE)</f>
        <v>0</v>
      </c>
      <c r="J32" s="199">
        <f>VLOOKUP(B32,合并!$B$4:$U$48,11,FALSE)</f>
        <v>0</v>
      </c>
      <c r="K32" s="199">
        <f>VLOOKUP(B32,合并!$B$4:$U$48,12,FALSE)</f>
        <v>0</v>
      </c>
      <c r="L32" s="199">
        <f>VLOOKUP(B32,合并!$B$4:$U$48,14,FALSE)</f>
        <v>0</v>
      </c>
      <c r="M32" s="199">
        <f>VLOOKUP(B32,合并!$B$4:$U$48,15,FALSE)</f>
        <v>0</v>
      </c>
      <c r="N32" s="199">
        <f>VLOOKUP(B32,合并!$B$4:$U$48,16,FALSE)</f>
        <v>0</v>
      </c>
      <c r="O32" s="199">
        <f>VLOOKUP(B32,合并!$B$4:$U$48,17,FALSE)</f>
        <v>2.5</v>
      </c>
      <c r="P32" s="199">
        <f>VLOOKUP(B32,合并!$B$4:$U$48,18,FALSE)</f>
        <v>2.5</v>
      </c>
      <c r="Q32" s="199">
        <f>VLOOKUP(B32,合并!$B$4:$U$48,19,FALSE)</f>
        <v>0</v>
      </c>
      <c r="R32" s="208"/>
    </row>
    <row r="33" ht="30.5" customHeight="1" spans="1:18">
      <c r="A33" s="197">
        <v>29</v>
      </c>
      <c r="B33" s="198" t="s">
        <v>44</v>
      </c>
      <c r="C33" s="199">
        <f>VLOOKUP(B33,合并!$B$4:$U$48,2,FALSE)</f>
        <v>4510.5982</v>
      </c>
      <c r="D33" s="199">
        <f>VLOOKUP(B33,合并!$B$4:$U$48,4,FALSE)</f>
        <v>21.56</v>
      </c>
      <c r="E33" s="199">
        <f>VLOOKUP(B33,合并!$B$4:$U$48,5,FALSE)</f>
        <v>21.56</v>
      </c>
      <c r="F33" s="199">
        <f>VLOOKUP(B33,合并!$B$4:$U$48,6,FALSE)</f>
        <v>0</v>
      </c>
      <c r="G33" s="199">
        <f>VLOOKUP(B33,合并!$B$4:$U$48,7,FALSE)</f>
        <v>1800</v>
      </c>
      <c r="H33" s="199">
        <f>VLOOKUP(B33,合并!$B$4:$U$48,9,FALSE)</f>
        <v>6.48</v>
      </c>
      <c r="I33" s="199">
        <f>VLOOKUP(B33,合并!$B$4:$U$48,10,FALSE)</f>
        <v>6.48</v>
      </c>
      <c r="J33" s="199">
        <f>VLOOKUP(B33,合并!$B$4:$U$48,11,FALSE)</f>
        <v>0</v>
      </c>
      <c r="K33" s="199">
        <f>VLOOKUP(B33,合并!$B$4:$U$48,12,FALSE)</f>
        <v>0</v>
      </c>
      <c r="L33" s="199">
        <f>VLOOKUP(B33,合并!$B$4:$U$48,14,FALSE)</f>
        <v>0</v>
      </c>
      <c r="M33" s="199">
        <f>VLOOKUP(B33,合并!$B$4:$U$48,15,FALSE)</f>
        <v>0</v>
      </c>
      <c r="N33" s="199">
        <f>VLOOKUP(B33,合并!$B$4:$U$48,16,FALSE)</f>
        <v>0</v>
      </c>
      <c r="O33" s="199">
        <f>VLOOKUP(B33,合并!$B$4:$U$48,17,FALSE)</f>
        <v>28.04</v>
      </c>
      <c r="P33" s="199">
        <f>VLOOKUP(B33,合并!$B$4:$U$48,18,FALSE)</f>
        <v>28.04</v>
      </c>
      <c r="Q33" s="199">
        <f>VLOOKUP(B33,合并!$B$4:$U$48,19,FALSE)</f>
        <v>0</v>
      </c>
      <c r="R33" s="208"/>
    </row>
    <row r="34" s="187" customFormat="1" ht="30.5" customHeight="1" spans="1:18">
      <c r="A34" s="197">
        <v>30</v>
      </c>
      <c r="B34" s="198" t="s">
        <v>45</v>
      </c>
      <c r="C34" s="199">
        <f>VLOOKUP(B34,合并!$B$4:$U$48,2,FALSE)</f>
        <v>10154.7</v>
      </c>
      <c r="D34" s="199">
        <f>VLOOKUP(B34,合并!$B$4:$U$48,4,FALSE)</f>
        <v>49.64</v>
      </c>
      <c r="E34" s="199">
        <f>VLOOKUP(B34,合并!$B$4:$U$48,5,FALSE)</f>
        <v>37.82</v>
      </c>
      <c r="F34" s="199">
        <f>VLOOKUP(B34,合并!$B$4:$U$48,6,FALSE)</f>
        <v>11.82</v>
      </c>
      <c r="G34" s="199">
        <f>VLOOKUP(B34,合并!$B$4:$U$48,7,FALSE)</f>
        <v>880</v>
      </c>
      <c r="H34" s="199">
        <f>VLOOKUP(B34,合并!$B$4:$U$48,9,FALSE)</f>
        <v>2.19</v>
      </c>
      <c r="I34" s="199">
        <f>VLOOKUP(B34,合并!$B$4:$U$48,10,FALSE)</f>
        <v>0</v>
      </c>
      <c r="J34" s="199">
        <f>VLOOKUP(B34,合并!$B$4:$U$48,11,FALSE)</f>
        <v>2.19</v>
      </c>
      <c r="K34" s="199">
        <f>VLOOKUP(B34,合并!$B$4:$U$48,12,FALSE)</f>
        <v>74723.26</v>
      </c>
      <c r="L34" s="199">
        <f>VLOOKUP(B34,合并!$B$4:$U$48,14,FALSE)</f>
        <v>123.38</v>
      </c>
      <c r="M34" s="199">
        <f>VLOOKUP(B34,合并!$B$4:$U$48,15,FALSE)</f>
        <v>24.68</v>
      </c>
      <c r="N34" s="199">
        <f>VLOOKUP(B34,合并!$B$4:$U$48,16,FALSE)</f>
        <v>98.7</v>
      </c>
      <c r="O34" s="199">
        <f>VLOOKUP(B34,合并!$B$4:$U$48,17,FALSE)</f>
        <v>175.21</v>
      </c>
      <c r="P34" s="199">
        <f>VLOOKUP(B34,合并!$B$4:$U$48,18,FALSE)</f>
        <v>62.5</v>
      </c>
      <c r="Q34" s="199">
        <f>VLOOKUP(B34,合并!$B$4:$U$48,19,FALSE)</f>
        <v>112.71</v>
      </c>
      <c r="R34" s="208"/>
    </row>
    <row r="35" s="187" customFormat="1" ht="30.5" customHeight="1" spans="1:18">
      <c r="A35" s="197">
        <v>31</v>
      </c>
      <c r="B35" s="198" t="s">
        <v>46</v>
      </c>
      <c r="C35" s="199">
        <f>VLOOKUP(B35,合并!$B$4:$U$48,2,FALSE)</f>
        <v>23701</v>
      </c>
      <c r="D35" s="199">
        <f>VLOOKUP(B35,合并!$B$4:$U$48,4,FALSE)</f>
        <v>115.51</v>
      </c>
      <c r="E35" s="199">
        <f>VLOOKUP(B35,合并!$B$4:$U$48,5,FALSE)</f>
        <v>98.27</v>
      </c>
      <c r="F35" s="199">
        <f>VLOOKUP(B35,合并!$B$4:$U$48,6,FALSE)</f>
        <v>17.24</v>
      </c>
      <c r="G35" s="199">
        <f>VLOOKUP(B35,合并!$B$4:$U$48,7,FALSE)</f>
        <v>2000</v>
      </c>
      <c r="H35" s="199">
        <f>VLOOKUP(B35,合并!$B$4:$U$48,9,FALSE)</f>
        <v>7.43</v>
      </c>
      <c r="I35" s="199">
        <f>VLOOKUP(B35,合并!$B$4:$U$48,10,FALSE)</f>
        <v>7.43</v>
      </c>
      <c r="J35" s="199">
        <f>VLOOKUP(B35,合并!$B$4:$U$48,11,FALSE)</f>
        <v>0</v>
      </c>
      <c r="K35" s="199">
        <f>VLOOKUP(B35,合并!$B$4:$U$48,12,FALSE)</f>
        <v>0</v>
      </c>
      <c r="L35" s="199">
        <f>VLOOKUP(B35,合并!$B$4:$U$48,14,FALSE)</f>
        <v>0</v>
      </c>
      <c r="M35" s="199">
        <f>VLOOKUP(B35,合并!$B$4:$U$48,15,FALSE)</f>
        <v>0</v>
      </c>
      <c r="N35" s="199">
        <f>VLOOKUP(B35,合并!$B$4:$U$48,16,FALSE)</f>
        <v>0</v>
      </c>
      <c r="O35" s="199">
        <f>VLOOKUP(B35,合并!$B$4:$U$48,17,FALSE)</f>
        <v>122.94</v>
      </c>
      <c r="P35" s="199">
        <f>VLOOKUP(B35,合并!$B$4:$U$48,18,FALSE)</f>
        <v>105.7</v>
      </c>
      <c r="Q35" s="199">
        <f>VLOOKUP(B35,合并!$B$4:$U$48,19,FALSE)</f>
        <v>17.24</v>
      </c>
      <c r="R35" s="208"/>
    </row>
    <row r="36" ht="30.5" customHeight="1" spans="1:18">
      <c r="A36" s="197">
        <v>32</v>
      </c>
      <c r="B36" s="198" t="s">
        <v>47</v>
      </c>
      <c r="C36" s="199">
        <f>VLOOKUP(B36,合并!$B$4:$U$48,2,FALSE)</f>
        <v>1604</v>
      </c>
      <c r="D36" s="199">
        <f>VLOOKUP(B36,合并!$B$4:$U$48,4,FALSE)</f>
        <v>8.02</v>
      </c>
      <c r="E36" s="199">
        <f>VLOOKUP(B36,合并!$B$4:$U$48,5,FALSE)</f>
        <v>8.02</v>
      </c>
      <c r="F36" s="199">
        <f>VLOOKUP(B36,合并!$B$4:$U$48,6,FALSE)</f>
        <v>0</v>
      </c>
      <c r="G36" s="199">
        <f>VLOOKUP(B36,合并!$B$4:$U$48,7,FALSE)</f>
        <v>950</v>
      </c>
      <c r="H36" s="199">
        <f>VLOOKUP(B36,合并!$B$4:$U$48,9,FALSE)</f>
        <v>4.75</v>
      </c>
      <c r="I36" s="199">
        <f>VLOOKUP(B36,合并!$B$4:$U$48,10,FALSE)</f>
        <v>4.75</v>
      </c>
      <c r="J36" s="199">
        <f>VLOOKUP(B36,合并!$B$4:$U$48,11,FALSE)</f>
        <v>0</v>
      </c>
      <c r="K36" s="199">
        <f>VLOOKUP(B36,合并!$B$4:$U$48,12,FALSE)</f>
        <v>0</v>
      </c>
      <c r="L36" s="199">
        <f>VLOOKUP(B36,合并!$B$4:$U$48,14,FALSE)</f>
        <v>0</v>
      </c>
      <c r="M36" s="199">
        <f>VLOOKUP(B36,合并!$B$4:$U$48,15,FALSE)</f>
        <v>0</v>
      </c>
      <c r="N36" s="199">
        <f>VLOOKUP(B36,合并!$B$4:$U$48,16,FALSE)</f>
        <v>0</v>
      </c>
      <c r="O36" s="199">
        <f>VLOOKUP(B36,合并!$B$4:$U$48,17,FALSE)</f>
        <v>12.77</v>
      </c>
      <c r="P36" s="199">
        <f>VLOOKUP(B36,合并!$B$4:$U$48,18,FALSE)</f>
        <v>12.77</v>
      </c>
      <c r="Q36" s="199">
        <f>VLOOKUP(B36,合并!$B$4:$U$48,19,FALSE)</f>
        <v>0</v>
      </c>
      <c r="R36" s="208"/>
    </row>
    <row r="37" s="187" customFormat="1" ht="30.5" customHeight="1" spans="1:18">
      <c r="A37" s="197">
        <v>33</v>
      </c>
      <c r="B37" s="198" t="s">
        <v>48</v>
      </c>
      <c r="C37" s="199">
        <f>VLOOKUP(B37,合并!$B$4:$U$48,2,FALSE)</f>
        <v>13577.29</v>
      </c>
      <c r="D37" s="199">
        <f>VLOOKUP(B37,合并!$B$4:$U$48,4,FALSE)</f>
        <v>66.2</v>
      </c>
      <c r="E37" s="199">
        <f>VLOOKUP(B37,合并!$B$4:$U$48,5,FALSE)</f>
        <v>65.71</v>
      </c>
      <c r="F37" s="199">
        <f>VLOOKUP(B37,合并!$B$4:$U$48,6,FALSE)</f>
        <v>0.49</v>
      </c>
      <c r="G37" s="199">
        <f>VLOOKUP(B37,合并!$B$4:$U$48,7,FALSE)</f>
        <v>3899</v>
      </c>
      <c r="H37" s="199">
        <f>VLOOKUP(B37,合并!$B$4:$U$48,9,FALSE)</f>
        <v>19.46</v>
      </c>
      <c r="I37" s="199">
        <f>VLOOKUP(B37,合并!$B$4:$U$48,10,FALSE)</f>
        <v>19.46</v>
      </c>
      <c r="J37" s="199">
        <f>VLOOKUP(B37,合并!$B$4:$U$48,11,FALSE)</f>
        <v>0</v>
      </c>
      <c r="K37" s="199">
        <f>VLOOKUP(B37,合并!$B$4:$U$48,12,FALSE)</f>
        <v>0</v>
      </c>
      <c r="L37" s="199">
        <f>VLOOKUP(B37,合并!$B$4:$U$48,14,FALSE)</f>
        <v>0</v>
      </c>
      <c r="M37" s="199">
        <f>VLOOKUP(B37,合并!$B$4:$U$48,15,FALSE)</f>
        <v>0</v>
      </c>
      <c r="N37" s="199">
        <f>VLOOKUP(B37,合并!$B$4:$U$48,16,FALSE)</f>
        <v>0</v>
      </c>
      <c r="O37" s="199">
        <f>VLOOKUP(B37,合并!$B$4:$U$48,17,FALSE)</f>
        <v>85.66</v>
      </c>
      <c r="P37" s="199">
        <f>VLOOKUP(B37,合并!$B$4:$U$48,18,FALSE)</f>
        <v>85.17</v>
      </c>
      <c r="Q37" s="199">
        <f>VLOOKUP(B37,合并!$B$4:$U$48,19,FALSE)</f>
        <v>0.49</v>
      </c>
      <c r="R37" s="208"/>
    </row>
    <row r="38" ht="30.5" customHeight="1" spans="1:18">
      <c r="A38" s="197">
        <v>34</v>
      </c>
      <c r="B38" s="198" t="s">
        <v>49</v>
      </c>
      <c r="C38" s="199">
        <f>VLOOKUP(B38,合并!$B$4:$U$48,2,FALSE)</f>
        <v>10038</v>
      </c>
      <c r="D38" s="199">
        <f>VLOOKUP(B38,合并!$B$4:$U$48,4,FALSE)</f>
        <v>50.02</v>
      </c>
      <c r="E38" s="199">
        <f>VLOOKUP(B38,合并!$B$4:$U$48,5,FALSE)</f>
        <v>45.97</v>
      </c>
      <c r="F38" s="199">
        <f>VLOOKUP(B38,合并!$B$4:$U$48,6,FALSE)</f>
        <v>4.05</v>
      </c>
      <c r="G38" s="199">
        <f>VLOOKUP(B38,合并!$B$4:$U$48,7,FALSE)</f>
        <v>1700</v>
      </c>
      <c r="H38" s="199">
        <f>VLOOKUP(B38,合并!$B$4:$U$48,9,FALSE)</f>
        <v>8.49</v>
      </c>
      <c r="I38" s="199">
        <f>VLOOKUP(B38,合并!$B$4:$U$48,10,FALSE)</f>
        <v>8.49</v>
      </c>
      <c r="J38" s="199">
        <f>VLOOKUP(B38,合并!$B$4:$U$48,11,FALSE)</f>
        <v>0</v>
      </c>
      <c r="K38" s="199">
        <f>VLOOKUP(B38,合并!$B$4:$U$48,12,FALSE)</f>
        <v>0</v>
      </c>
      <c r="L38" s="199">
        <f>VLOOKUP(B38,合并!$B$4:$U$48,14,FALSE)</f>
        <v>0</v>
      </c>
      <c r="M38" s="199">
        <f>VLOOKUP(B38,合并!$B$4:$U$48,15,FALSE)</f>
        <v>0</v>
      </c>
      <c r="N38" s="199">
        <f>VLOOKUP(B38,合并!$B$4:$U$48,16,FALSE)</f>
        <v>0</v>
      </c>
      <c r="O38" s="199">
        <f>VLOOKUP(B38,合并!$B$4:$U$48,17,FALSE)</f>
        <v>58.51</v>
      </c>
      <c r="P38" s="199">
        <f>VLOOKUP(B38,合并!$B$4:$U$48,18,FALSE)</f>
        <v>54.46</v>
      </c>
      <c r="Q38" s="199">
        <f>VLOOKUP(B38,合并!$B$4:$U$48,19,FALSE)</f>
        <v>4.05</v>
      </c>
      <c r="R38" s="208"/>
    </row>
    <row r="39" ht="30.5" customHeight="1" spans="1:18">
      <c r="A39" s="197">
        <v>35</v>
      </c>
      <c r="B39" s="198" t="s">
        <v>50</v>
      </c>
      <c r="C39" s="199">
        <f>VLOOKUP(B39,合并!$B$4:$U$48,2,FALSE)</f>
        <v>830</v>
      </c>
      <c r="D39" s="199">
        <f>VLOOKUP(B39,合并!$B$4:$U$48,4,FALSE)</f>
        <v>4.15</v>
      </c>
      <c r="E39" s="199">
        <f>VLOOKUP(B39,合并!$B$4:$U$48,5,FALSE)</f>
        <v>4.15</v>
      </c>
      <c r="F39" s="199">
        <f>VLOOKUP(B39,合并!$B$4:$U$48,6,FALSE)</f>
        <v>0</v>
      </c>
      <c r="G39" s="199">
        <f>VLOOKUP(B39,合并!$B$4:$U$48,7,FALSE)</f>
        <v>5420</v>
      </c>
      <c r="H39" s="199">
        <f>VLOOKUP(B39,合并!$B$4:$U$48,9,FALSE)</f>
        <v>24.42</v>
      </c>
      <c r="I39" s="199">
        <f>VLOOKUP(B39,合并!$B$4:$U$48,10,FALSE)</f>
        <v>24.42</v>
      </c>
      <c r="J39" s="199">
        <f>VLOOKUP(B39,合并!$B$4:$U$48,11,FALSE)</f>
        <v>0</v>
      </c>
      <c r="K39" s="199">
        <f>VLOOKUP(B39,合并!$B$4:$U$48,12,FALSE)</f>
        <v>0</v>
      </c>
      <c r="L39" s="199">
        <f>VLOOKUP(B39,合并!$B$4:$U$48,14,FALSE)</f>
        <v>0</v>
      </c>
      <c r="M39" s="199">
        <f>VLOOKUP(B39,合并!$B$4:$U$48,15,FALSE)</f>
        <v>0</v>
      </c>
      <c r="N39" s="199">
        <f>VLOOKUP(B39,合并!$B$4:$U$48,16,FALSE)</f>
        <v>0</v>
      </c>
      <c r="O39" s="199">
        <f>VLOOKUP(B39,合并!$B$4:$U$48,17,FALSE)</f>
        <v>28.57</v>
      </c>
      <c r="P39" s="199">
        <f>VLOOKUP(B39,合并!$B$4:$U$48,18,FALSE)</f>
        <v>28.57</v>
      </c>
      <c r="Q39" s="199">
        <f>VLOOKUP(B39,合并!$B$4:$U$48,19,FALSE)</f>
        <v>0</v>
      </c>
      <c r="R39" s="208"/>
    </row>
    <row r="40" ht="30.5" customHeight="1" spans="1:18">
      <c r="A40" s="197">
        <v>36</v>
      </c>
      <c r="B40" s="198" t="s">
        <v>51</v>
      </c>
      <c r="C40" s="199">
        <f>VLOOKUP(B40,合并!$B$4:$U$48,2,FALSE)</f>
        <v>31222.35</v>
      </c>
      <c r="D40" s="199">
        <f>VLOOKUP(B40,合并!$B$4:$U$48,4,FALSE)</f>
        <v>155.72</v>
      </c>
      <c r="E40" s="199">
        <f>VLOOKUP(B40,合并!$B$4:$U$48,5,FALSE)</f>
        <v>132.42</v>
      </c>
      <c r="F40" s="199">
        <f>VLOOKUP(B40,合并!$B$4:$U$48,6,FALSE)</f>
        <v>23.3</v>
      </c>
      <c r="G40" s="199">
        <f>VLOOKUP(B40,合并!$B$4:$U$48,7,FALSE)</f>
        <v>0</v>
      </c>
      <c r="H40" s="199">
        <f>VLOOKUP(B40,合并!$B$4:$U$48,9,FALSE)</f>
        <v>0</v>
      </c>
      <c r="I40" s="199">
        <f>VLOOKUP(B40,合并!$B$4:$U$48,10,FALSE)</f>
        <v>0</v>
      </c>
      <c r="J40" s="199">
        <f>VLOOKUP(B40,合并!$B$4:$U$48,11,FALSE)</f>
        <v>0</v>
      </c>
      <c r="K40" s="199">
        <f>VLOOKUP(B40,合并!$B$4:$U$48,12,FALSE)</f>
        <v>29374.95</v>
      </c>
      <c r="L40" s="199">
        <f>VLOOKUP(B40,合并!$B$4:$U$48,14,FALSE)</f>
        <v>57.65</v>
      </c>
      <c r="M40" s="199">
        <f>VLOOKUP(B40,合并!$B$4:$U$48,15,FALSE)</f>
        <v>56.51</v>
      </c>
      <c r="N40" s="199">
        <f>VLOOKUP(B40,合并!$B$4:$U$48,16,FALSE)</f>
        <v>1.14</v>
      </c>
      <c r="O40" s="199">
        <f>VLOOKUP(B40,合并!$B$4:$U$48,17,FALSE)</f>
        <v>213.37</v>
      </c>
      <c r="P40" s="199">
        <f>VLOOKUP(B40,合并!$B$4:$U$48,18,FALSE)</f>
        <v>188.93</v>
      </c>
      <c r="Q40" s="199">
        <f>VLOOKUP(B40,合并!$B$4:$U$48,19,FALSE)</f>
        <v>24.44</v>
      </c>
      <c r="R40" s="208"/>
    </row>
    <row r="41" s="187" customFormat="1" ht="30.5" customHeight="1" spans="1:18">
      <c r="A41" s="197">
        <v>37</v>
      </c>
      <c r="B41" s="198" t="s">
        <v>52</v>
      </c>
      <c r="C41" s="199">
        <f>VLOOKUP(B41,合并!$B$4:$U$48,2,FALSE)</f>
        <v>26395.01296</v>
      </c>
      <c r="D41" s="199">
        <f>VLOOKUP(B41,合并!$B$4:$U$48,4,FALSE)</f>
        <v>131.94</v>
      </c>
      <c r="E41" s="199">
        <f>VLOOKUP(B41,合并!$B$4:$U$48,5,FALSE)</f>
        <v>123.89</v>
      </c>
      <c r="F41" s="199">
        <f>VLOOKUP(B41,合并!$B$4:$U$48,6,FALSE)</f>
        <v>8.05</v>
      </c>
      <c r="G41" s="199">
        <f>VLOOKUP(B41,合并!$B$4:$U$48,7,FALSE)</f>
        <v>6980</v>
      </c>
      <c r="H41" s="199">
        <f>VLOOKUP(B41,合并!$B$4:$U$48,9,FALSE)</f>
        <v>34.89</v>
      </c>
      <c r="I41" s="199">
        <f>VLOOKUP(B41,合并!$B$4:$U$48,10,FALSE)</f>
        <v>30.04</v>
      </c>
      <c r="J41" s="199">
        <f>VLOOKUP(B41,合并!$B$4:$U$48,11,FALSE)</f>
        <v>4.85</v>
      </c>
      <c r="K41" s="199">
        <f>VLOOKUP(B41,合并!$B$4:$U$48,12,FALSE)</f>
        <v>16662.3</v>
      </c>
      <c r="L41" s="199">
        <f>VLOOKUP(B41,合并!$B$4:$U$48,14,FALSE)</f>
        <v>31.3</v>
      </c>
      <c r="M41" s="199">
        <f>VLOOKUP(B41,合并!$B$4:$U$48,15,FALSE)</f>
        <v>31.3</v>
      </c>
      <c r="N41" s="199">
        <f>VLOOKUP(B41,合并!$B$4:$U$48,16,FALSE)</f>
        <v>0</v>
      </c>
      <c r="O41" s="199">
        <f>VLOOKUP(B41,合并!$B$4:$U$48,17,FALSE)</f>
        <v>198.13</v>
      </c>
      <c r="P41" s="199">
        <f>VLOOKUP(B41,合并!$B$4:$U$48,18,FALSE)</f>
        <v>185.23</v>
      </c>
      <c r="Q41" s="199">
        <f>VLOOKUP(B41,合并!$B$4:$U$48,19,FALSE)</f>
        <v>12.9</v>
      </c>
      <c r="R41" s="208"/>
    </row>
    <row r="42" ht="30.5" customHeight="1" spans="1:18">
      <c r="A42" s="197">
        <v>38</v>
      </c>
      <c r="B42" s="198" t="s">
        <v>53</v>
      </c>
      <c r="C42" s="199">
        <f>VLOOKUP(B42,合并!$B$4:$U$48,2,FALSE)</f>
        <v>7230</v>
      </c>
      <c r="D42" s="199">
        <f>VLOOKUP(B42,合并!$B$4:$U$48,4,FALSE)</f>
        <v>36.14</v>
      </c>
      <c r="E42" s="199">
        <f>VLOOKUP(B42,合并!$B$4:$U$48,5,FALSE)</f>
        <v>35.74</v>
      </c>
      <c r="F42" s="199">
        <f>VLOOKUP(B42,合并!$B$4:$U$48,6,FALSE)</f>
        <v>0.4</v>
      </c>
      <c r="G42" s="199">
        <f>VLOOKUP(B42,合并!$B$4:$U$48,7,FALSE)</f>
        <v>0</v>
      </c>
      <c r="H42" s="199">
        <f>VLOOKUP(B42,合并!$B$4:$U$48,9,FALSE)</f>
        <v>0</v>
      </c>
      <c r="I42" s="199">
        <f>VLOOKUP(B42,合并!$B$4:$U$48,10,FALSE)</f>
        <v>0</v>
      </c>
      <c r="J42" s="199">
        <f>VLOOKUP(B42,合并!$B$4:$U$48,11,FALSE)</f>
        <v>0</v>
      </c>
      <c r="K42" s="199">
        <f>VLOOKUP(B42,合并!$B$4:$U$48,12,FALSE)</f>
        <v>0</v>
      </c>
      <c r="L42" s="199">
        <f>VLOOKUP(B42,合并!$B$4:$U$48,14,FALSE)</f>
        <v>0</v>
      </c>
      <c r="M42" s="199">
        <f>VLOOKUP(B42,合并!$B$4:$U$48,15,FALSE)</f>
        <v>0</v>
      </c>
      <c r="N42" s="199">
        <f>VLOOKUP(B42,合并!$B$4:$U$48,16,FALSE)</f>
        <v>0</v>
      </c>
      <c r="O42" s="199">
        <f>VLOOKUP(B42,合并!$B$4:$U$48,17,FALSE)</f>
        <v>36.14</v>
      </c>
      <c r="P42" s="199">
        <f>VLOOKUP(B42,合并!$B$4:$U$48,18,FALSE)</f>
        <v>35.74</v>
      </c>
      <c r="Q42" s="199">
        <f>VLOOKUP(B42,合并!$B$4:$U$48,19,FALSE)</f>
        <v>0.4</v>
      </c>
      <c r="R42" s="208"/>
    </row>
    <row r="43" ht="30.5" customHeight="1" spans="1:18">
      <c r="A43" s="197">
        <v>39</v>
      </c>
      <c r="B43" s="198" t="s">
        <v>54</v>
      </c>
      <c r="C43" s="199">
        <f>VLOOKUP(B43,合并!$B$4:$U$48,2,FALSE)</f>
        <v>490</v>
      </c>
      <c r="D43" s="199">
        <f>VLOOKUP(B43,合并!$B$4:$U$48,4,FALSE)</f>
        <v>2.45</v>
      </c>
      <c r="E43" s="199">
        <f>VLOOKUP(B43,合并!$B$4:$U$48,5,FALSE)</f>
        <v>2.45</v>
      </c>
      <c r="F43" s="199">
        <f>VLOOKUP(B43,合并!$B$4:$U$48,6,FALSE)</f>
        <v>0</v>
      </c>
      <c r="G43" s="199">
        <f>VLOOKUP(B43,合并!$B$4:$U$48,7,FALSE)</f>
        <v>1700</v>
      </c>
      <c r="H43" s="199">
        <f>VLOOKUP(B43,合并!$B$4:$U$48,9,FALSE)</f>
        <v>8.5</v>
      </c>
      <c r="I43" s="199">
        <f>VLOOKUP(B43,合并!$B$4:$U$48,10,FALSE)</f>
        <v>8.5</v>
      </c>
      <c r="J43" s="199">
        <f>VLOOKUP(B43,合并!$B$4:$U$48,11,FALSE)</f>
        <v>0</v>
      </c>
      <c r="K43" s="199">
        <f>VLOOKUP(B43,合并!$B$4:$U$48,12,FALSE)</f>
        <v>0</v>
      </c>
      <c r="L43" s="199">
        <f>VLOOKUP(B43,合并!$B$4:$U$48,14,FALSE)</f>
        <v>0</v>
      </c>
      <c r="M43" s="199">
        <f>VLOOKUP(B43,合并!$B$4:$U$48,15,FALSE)</f>
        <v>0</v>
      </c>
      <c r="N43" s="199">
        <f>VLOOKUP(B43,合并!$B$4:$U$48,16,FALSE)</f>
        <v>0</v>
      </c>
      <c r="O43" s="199">
        <f>VLOOKUP(B43,合并!$B$4:$U$48,17,FALSE)</f>
        <v>10.95</v>
      </c>
      <c r="P43" s="199">
        <f>VLOOKUP(B43,合并!$B$4:$U$48,18,FALSE)</f>
        <v>10.95</v>
      </c>
      <c r="Q43" s="199">
        <f>VLOOKUP(B43,合并!$B$4:$U$48,19,FALSE)</f>
        <v>0</v>
      </c>
      <c r="R43" s="208"/>
    </row>
    <row r="44" ht="30.5" customHeight="1" spans="1:18">
      <c r="A44" s="197">
        <v>40</v>
      </c>
      <c r="B44" s="198" t="s">
        <v>55</v>
      </c>
      <c r="C44" s="199">
        <f>VLOOKUP(B44,合并!$B$4:$U$48,2,FALSE)</f>
        <v>4865</v>
      </c>
      <c r="D44" s="199">
        <f>VLOOKUP(B44,合并!$B$4:$U$48,4,FALSE)</f>
        <v>20.63</v>
      </c>
      <c r="E44" s="199">
        <f>VLOOKUP(B44,合并!$B$4:$U$48,5,FALSE)</f>
        <v>17.55</v>
      </c>
      <c r="F44" s="199">
        <f>VLOOKUP(B44,合并!$B$4:$U$48,6,FALSE)</f>
        <v>3.08</v>
      </c>
      <c r="G44" s="199">
        <f>VLOOKUP(B44,合并!$B$4:$U$48,7,FALSE)</f>
        <v>3380</v>
      </c>
      <c r="H44" s="199">
        <f>VLOOKUP(B44,合并!$B$4:$U$48,9,FALSE)</f>
        <v>16.75</v>
      </c>
      <c r="I44" s="199">
        <f>VLOOKUP(B44,合并!$B$4:$U$48,10,FALSE)</f>
        <v>9.24</v>
      </c>
      <c r="J44" s="199">
        <f>VLOOKUP(B44,合并!$B$4:$U$48,11,FALSE)</f>
        <v>7.51</v>
      </c>
      <c r="K44" s="199">
        <f>VLOOKUP(B44,合并!$B$4:$U$48,12,FALSE)</f>
        <v>6191.8</v>
      </c>
      <c r="L44" s="199">
        <f>VLOOKUP(B44,合并!$B$4:$U$48,14,FALSE)</f>
        <v>12</v>
      </c>
      <c r="M44" s="199">
        <f>VLOOKUP(B44,合并!$B$4:$U$48,15,FALSE)</f>
        <v>10.39</v>
      </c>
      <c r="N44" s="199">
        <f>VLOOKUP(B44,合并!$B$4:$U$48,16,FALSE)</f>
        <v>1.61</v>
      </c>
      <c r="O44" s="199">
        <f>VLOOKUP(B44,合并!$B$4:$U$48,17,FALSE)</f>
        <v>49.38</v>
      </c>
      <c r="P44" s="199">
        <f>VLOOKUP(B44,合并!$B$4:$U$48,18,FALSE)</f>
        <v>37.18</v>
      </c>
      <c r="Q44" s="199">
        <f>VLOOKUP(B44,合并!$B$4:$U$48,19,FALSE)</f>
        <v>12.2</v>
      </c>
      <c r="R44" s="208"/>
    </row>
    <row r="45" ht="30.5" customHeight="1" spans="1:18">
      <c r="A45" s="197">
        <v>41</v>
      </c>
      <c r="B45" s="198" t="s">
        <v>56</v>
      </c>
      <c r="C45" s="199">
        <f>VLOOKUP(B45,合并!$B$4:$U$48,2,FALSE)</f>
        <v>11160</v>
      </c>
      <c r="D45" s="199">
        <f>VLOOKUP(B45,合并!$B$4:$U$48,4,FALSE)</f>
        <v>55.8</v>
      </c>
      <c r="E45" s="199">
        <f>VLOOKUP(B45,合并!$B$4:$U$48,5,FALSE)</f>
        <v>55.8</v>
      </c>
      <c r="F45" s="199">
        <f>VLOOKUP(B45,合并!$B$4:$U$48,6,FALSE)</f>
        <v>0</v>
      </c>
      <c r="G45" s="199">
        <f>VLOOKUP(B45,合并!$B$4:$U$48,7,FALSE)</f>
        <v>1780</v>
      </c>
      <c r="H45" s="199">
        <f>VLOOKUP(B45,合并!$B$4:$U$48,9,FALSE)</f>
        <v>8.9</v>
      </c>
      <c r="I45" s="199">
        <f>VLOOKUP(B45,合并!$B$4:$U$48,10,FALSE)</f>
        <v>8.9</v>
      </c>
      <c r="J45" s="199">
        <f>VLOOKUP(B45,合并!$B$4:$U$48,11,FALSE)</f>
        <v>0</v>
      </c>
      <c r="K45" s="199">
        <f>VLOOKUP(B45,合并!$B$4:$U$48,12,FALSE)</f>
        <v>0</v>
      </c>
      <c r="L45" s="199">
        <f>VLOOKUP(B45,合并!$B$4:$U$48,14,FALSE)</f>
        <v>0</v>
      </c>
      <c r="M45" s="199">
        <f>VLOOKUP(B45,合并!$B$4:$U$48,15,FALSE)</f>
        <v>0</v>
      </c>
      <c r="N45" s="199">
        <f>VLOOKUP(B45,合并!$B$4:$U$48,16,FALSE)</f>
        <v>0</v>
      </c>
      <c r="O45" s="199">
        <f>VLOOKUP(B45,合并!$B$4:$U$48,17,FALSE)</f>
        <v>64.7</v>
      </c>
      <c r="P45" s="199">
        <f>VLOOKUP(B45,合并!$B$4:$U$48,18,FALSE)</f>
        <v>64.7</v>
      </c>
      <c r="Q45" s="199">
        <f>VLOOKUP(B45,合并!$B$4:$U$48,19,FALSE)</f>
        <v>0</v>
      </c>
      <c r="R45" s="208"/>
    </row>
    <row r="46" ht="30.5" customHeight="1" spans="1:18">
      <c r="A46" s="197">
        <v>42</v>
      </c>
      <c r="B46" s="198" t="s">
        <v>57</v>
      </c>
      <c r="C46" s="199">
        <f>VLOOKUP(B46,合并!$B$4:$U$48,2,FALSE)</f>
        <v>4650</v>
      </c>
      <c r="D46" s="199">
        <f>VLOOKUP(B46,合并!$B$4:$U$48,4,FALSE)</f>
        <v>22.98</v>
      </c>
      <c r="E46" s="199">
        <f>VLOOKUP(B46,合并!$B$4:$U$48,5,FALSE)</f>
        <v>22.9</v>
      </c>
      <c r="F46" s="199">
        <f>VLOOKUP(B46,合并!$B$4:$U$48,6,FALSE)</f>
        <v>0.08</v>
      </c>
      <c r="G46" s="199">
        <f>VLOOKUP(B46,合并!$B$4:$U$48,7,FALSE)</f>
        <v>0</v>
      </c>
      <c r="H46" s="199">
        <f>VLOOKUP(B46,合并!$B$4:$U$48,9,FALSE)</f>
        <v>0</v>
      </c>
      <c r="I46" s="199">
        <f>VLOOKUP(B46,合并!$B$4:$U$48,10,FALSE)</f>
        <v>0</v>
      </c>
      <c r="J46" s="199">
        <f>VLOOKUP(B46,合并!$B$4:$U$48,11,FALSE)</f>
        <v>0</v>
      </c>
      <c r="K46" s="199">
        <f>VLOOKUP(B46,合并!$B$4:$U$48,12,FALSE)</f>
        <v>0</v>
      </c>
      <c r="L46" s="199">
        <f>VLOOKUP(B46,合并!$B$4:$U$48,14,FALSE)</f>
        <v>0</v>
      </c>
      <c r="M46" s="199">
        <f>VLOOKUP(B46,合并!$B$4:$U$48,15,FALSE)</f>
        <v>0</v>
      </c>
      <c r="N46" s="199">
        <f>VLOOKUP(B46,合并!$B$4:$U$48,16,FALSE)</f>
        <v>0</v>
      </c>
      <c r="O46" s="199">
        <f>VLOOKUP(B46,合并!$B$4:$U$48,17,FALSE)</f>
        <v>22.98</v>
      </c>
      <c r="P46" s="199">
        <f>VLOOKUP(B46,合并!$B$4:$U$48,18,FALSE)</f>
        <v>22.9</v>
      </c>
      <c r="Q46" s="199">
        <f>VLOOKUP(B46,合并!$B$4:$U$48,19,FALSE)</f>
        <v>0.08</v>
      </c>
      <c r="R46" s="208"/>
    </row>
    <row r="47" ht="30.5" customHeight="1" spans="1:18">
      <c r="A47" s="197">
        <v>43</v>
      </c>
      <c r="B47" s="198" t="s">
        <v>58</v>
      </c>
      <c r="C47" s="199">
        <f>VLOOKUP(B47,合并!$B$4:$U$48,2,FALSE)</f>
        <v>590</v>
      </c>
      <c r="D47" s="199">
        <f>VLOOKUP(B47,合并!$B$4:$U$48,4,FALSE)</f>
        <v>2.89</v>
      </c>
      <c r="E47" s="199">
        <f>VLOOKUP(B47,合并!$B$4:$U$48,5,FALSE)</f>
        <v>2.77</v>
      </c>
      <c r="F47" s="199">
        <f>VLOOKUP(B47,合并!$B$4:$U$48,6,FALSE)</f>
        <v>0.12</v>
      </c>
      <c r="G47" s="199">
        <f>VLOOKUP(B47,合并!$B$4:$U$48,7,FALSE)</f>
        <v>0</v>
      </c>
      <c r="H47" s="199">
        <f>VLOOKUP(B47,合并!$B$4:$U$48,9,FALSE)</f>
        <v>0</v>
      </c>
      <c r="I47" s="199">
        <f>VLOOKUP(B47,合并!$B$4:$U$48,10,FALSE)</f>
        <v>0</v>
      </c>
      <c r="J47" s="199">
        <f>VLOOKUP(B47,合并!$B$4:$U$48,11,FALSE)</f>
        <v>0</v>
      </c>
      <c r="K47" s="199">
        <f>VLOOKUP(B47,合并!$B$4:$U$48,12,FALSE)</f>
        <v>0</v>
      </c>
      <c r="L47" s="199">
        <f>VLOOKUP(B47,合并!$B$4:$U$48,14,FALSE)</f>
        <v>0</v>
      </c>
      <c r="M47" s="199">
        <f>VLOOKUP(B47,合并!$B$4:$U$48,15,FALSE)</f>
        <v>0</v>
      </c>
      <c r="N47" s="199">
        <f>VLOOKUP(B47,合并!$B$4:$U$48,16,FALSE)</f>
        <v>0</v>
      </c>
      <c r="O47" s="199">
        <f>VLOOKUP(B47,合并!$B$4:$U$48,17,FALSE)</f>
        <v>2.89</v>
      </c>
      <c r="P47" s="199">
        <f>VLOOKUP(B47,合并!$B$4:$U$48,18,FALSE)</f>
        <v>2.77</v>
      </c>
      <c r="Q47" s="199">
        <f>VLOOKUP(B47,合并!$B$4:$U$48,19,FALSE)</f>
        <v>0.12</v>
      </c>
      <c r="R47" s="208"/>
    </row>
    <row r="48" ht="30.5" customHeight="1" spans="1:18">
      <c r="A48" s="197">
        <v>44</v>
      </c>
      <c r="B48" s="198" t="s">
        <v>59</v>
      </c>
      <c r="C48" s="199">
        <f>VLOOKUP(B48,合并!$B$4:$U$48,2,FALSE)</f>
        <v>500</v>
      </c>
      <c r="D48" s="199">
        <f>VLOOKUP(B48,合并!$B$4:$U$48,4,FALSE)</f>
        <v>2.5</v>
      </c>
      <c r="E48" s="199">
        <f>VLOOKUP(B48,合并!$B$4:$U$48,5,FALSE)</f>
        <v>2.5</v>
      </c>
      <c r="F48" s="199">
        <f>VLOOKUP(B48,合并!$B$4:$U$48,6,FALSE)</f>
        <v>0</v>
      </c>
      <c r="G48" s="199">
        <f>VLOOKUP(B48,合并!$B$4:$U$48,7,FALSE)</f>
        <v>0</v>
      </c>
      <c r="H48" s="199">
        <f>VLOOKUP(B48,合并!$B$4:$U$48,9,FALSE)</f>
        <v>0</v>
      </c>
      <c r="I48" s="199">
        <f>VLOOKUP(B48,合并!$B$4:$U$48,10,FALSE)</f>
        <v>0</v>
      </c>
      <c r="J48" s="199">
        <f>VLOOKUP(B48,合并!$B$4:$U$48,11,FALSE)</f>
        <v>0</v>
      </c>
      <c r="K48" s="199">
        <f>VLOOKUP(B48,合并!$B$4:$U$48,12,FALSE)</f>
        <v>0</v>
      </c>
      <c r="L48" s="199">
        <f>VLOOKUP(B48,合并!$B$4:$U$48,14,FALSE)</f>
        <v>0</v>
      </c>
      <c r="M48" s="199">
        <f>VLOOKUP(B48,合并!$B$4:$U$48,15,FALSE)</f>
        <v>0</v>
      </c>
      <c r="N48" s="199">
        <f>VLOOKUP(B48,合并!$B$4:$U$48,16,FALSE)</f>
        <v>0</v>
      </c>
      <c r="O48" s="199">
        <f>VLOOKUP(B48,合并!$B$4:$U$48,17,FALSE)</f>
        <v>2.5</v>
      </c>
      <c r="P48" s="199">
        <f>VLOOKUP(B48,合并!$B$4:$U$48,18,FALSE)</f>
        <v>2.5</v>
      </c>
      <c r="Q48" s="199">
        <f>VLOOKUP(B48,合并!$B$4:$U$48,19,FALSE)</f>
        <v>0</v>
      </c>
      <c r="R48" s="208"/>
    </row>
    <row r="49" ht="30.5" customHeight="1" spans="1:18">
      <c r="A49" s="197">
        <v>45</v>
      </c>
      <c r="B49" s="200" t="s">
        <v>60</v>
      </c>
      <c r="C49" s="199">
        <f>VLOOKUP(B49,合并!$B$4:$U$48,2,FALSE)</f>
        <v>900</v>
      </c>
      <c r="D49" s="199">
        <f>VLOOKUP(B49,合并!$B$4:$U$48,4,FALSE)</f>
        <v>4.48</v>
      </c>
      <c r="E49" s="199">
        <f>VLOOKUP(B49,合并!$B$4:$U$48,5,FALSE)</f>
        <v>4.48</v>
      </c>
      <c r="F49" s="199">
        <f>VLOOKUP(B49,合并!$B$4:$U$48,6,FALSE)</f>
        <v>0</v>
      </c>
      <c r="G49" s="199">
        <f>VLOOKUP(B49,合并!$B$4:$U$48,7,FALSE)</f>
        <v>0</v>
      </c>
      <c r="H49" s="199">
        <f>VLOOKUP(B49,合并!$B$4:$U$48,9,FALSE)</f>
        <v>0</v>
      </c>
      <c r="I49" s="199">
        <f>VLOOKUP(B49,合并!$B$4:$U$48,10,FALSE)</f>
        <v>0</v>
      </c>
      <c r="J49" s="199">
        <f>VLOOKUP(B49,合并!$B$4:$U$48,11,FALSE)</f>
        <v>0</v>
      </c>
      <c r="K49" s="199">
        <f>VLOOKUP(B49,合并!$B$4:$U$48,12,FALSE)</f>
        <v>0</v>
      </c>
      <c r="L49" s="199">
        <f>VLOOKUP(B49,合并!$B$4:$U$48,14,FALSE)</f>
        <v>0</v>
      </c>
      <c r="M49" s="199">
        <f>VLOOKUP(B49,合并!$B$4:$U$48,15,FALSE)</f>
        <v>0</v>
      </c>
      <c r="N49" s="199">
        <f>VLOOKUP(B49,合并!$B$4:$U$48,16,FALSE)</f>
        <v>0</v>
      </c>
      <c r="O49" s="199">
        <f>VLOOKUP(B49,合并!$B$4:$U$48,17,FALSE)</f>
        <v>4.48</v>
      </c>
      <c r="P49" s="199">
        <f>VLOOKUP(B49,合并!$B$4:$U$48,18,FALSE)</f>
        <v>4.48</v>
      </c>
      <c r="Q49" s="199">
        <f>VLOOKUP(B49,合并!$B$4:$U$48,19,FALSE)</f>
        <v>0</v>
      </c>
      <c r="R49" s="208"/>
    </row>
    <row r="50" ht="30.5" customHeight="1" spans="1:18">
      <c r="A50" s="103" t="s">
        <v>61</v>
      </c>
      <c r="B50" s="104"/>
      <c r="C50" s="201">
        <f t="shared" ref="C50:K50" si="0">SUM(C5:C49)</f>
        <v>555532.808648</v>
      </c>
      <c r="D50" s="201">
        <f t="shared" si="0"/>
        <v>2729.31</v>
      </c>
      <c r="E50" s="201">
        <f t="shared" si="0"/>
        <v>2506.64</v>
      </c>
      <c r="F50" s="201">
        <f t="shared" si="0"/>
        <v>222.67</v>
      </c>
      <c r="G50" s="201">
        <f t="shared" si="0"/>
        <v>149448.158048</v>
      </c>
      <c r="H50" s="201">
        <f t="shared" si="0"/>
        <v>711.62</v>
      </c>
      <c r="I50" s="201">
        <f t="shared" si="0"/>
        <v>595.28</v>
      </c>
      <c r="J50" s="201">
        <f t="shared" si="0"/>
        <v>116.34</v>
      </c>
      <c r="K50" s="201">
        <f t="shared" si="0"/>
        <v>647729.558375</v>
      </c>
      <c r="L50" s="201">
        <f t="shared" ref="L50:Q50" si="1">SUM(L5:L49)</f>
        <v>1202.94999999999</v>
      </c>
      <c r="M50" s="201">
        <f t="shared" si="1"/>
        <v>1079.29999999999</v>
      </c>
      <c r="N50" s="201">
        <f t="shared" si="1"/>
        <v>123.65</v>
      </c>
      <c r="O50" s="201">
        <f t="shared" si="1"/>
        <v>4643.87999999999</v>
      </c>
      <c r="P50" s="201">
        <f t="shared" si="1"/>
        <v>4181.21999999999</v>
      </c>
      <c r="Q50" s="201">
        <f t="shared" si="1"/>
        <v>462.66</v>
      </c>
      <c r="R50" s="208"/>
    </row>
    <row r="51" ht="55" customHeight="1" spans="1:14">
      <c r="A51" s="202" t="s">
        <v>62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3" spans="3:17"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</row>
    <row r="54" ht="20.25" spans="3:17"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</row>
    <row r="57" s="188" customFormat="1" ht="25.5" spans="1:1">
      <c r="A57" s="205"/>
    </row>
    <row r="58" ht="31.5" spans="5:17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</row>
    <row r="61" ht="25.5" spans="9:9">
      <c r="I61" s="188"/>
    </row>
  </sheetData>
  <autoFilter xmlns:etc="http://www.wps.cn/officeDocument/2017/etCustomData" ref="A4:R51" etc:filterBottomFollowUsedRange="0">
    <extLst/>
  </autoFilter>
  <mergeCells count="12">
    <mergeCell ref="A1:B1"/>
    <mergeCell ref="A2:R2"/>
    <mergeCell ref="C3:J3"/>
    <mergeCell ref="K3:N3"/>
    <mergeCell ref="A50:B50"/>
    <mergeCell ref="A51:N51"/>
    <mergeCell ref="A3:A4"/>
    <mergeCell ref="B3:B4"/>
    <mergeCell ref="O3:O4"/>
    <mergeCell ref="P3:P4"/>
    <mergeCell ref="Q3:Q4"/>
    <mergeCell ref="R3:R4"/>
  </mergeCells>
  <pageMargins left="0.472222222222222" right="0.314583333333333" top="0.196527777777778" bottom="0.472222222222222" header="0.393055555555556" footer="0.156944444444444"/>
  <pageSetup paperSize="9" scale="3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75"/>
  <sheetViews>
    <sheetView topLeftCell="B1" workbookViewId="0">
      <pane xSplit="1" ySplit="3" topLeftCell="C28" activePane="bottomRight" state="frozen"/>
      <selection/>
      <selection pane="topRight"/>
      <selection pane="bottomLeft"/>
      <selection pane="bottomRight" activeCell="L60" sqref="L60"/>
    </sheetView>
  </sheetViews>
  <sheetFormatPr defaultColWidth="9" defaultRowHeight="14.25"/>
  <cols>
    <col min="2" max="2" width="29.5" customWidth="1"/>
    <col min="3" max="3" width="14.125"/>
    <col min="4" max="4" width="9" style="169"/>
    <col min="5" max="5" width="10.375"/>
    <col min="6" max="6" width="14.125"/>
    <col min="7" max="7" width="10.375"/>
    <col min="8" max="8" width="12.875"/>
    <col min="9" max="9" width="10.375" style="169"/>
    <col min="13" max="13" width="14.125"/>
    <col min="14" max="14" width="9.375" style="169"/>
    <col min="15" max="15" width="14.125"/>
    <col min="16" max="16" width="9.25"/>
    <col min="18" max="18" width="9.25"/>
    <col min="20" max="20" width="9.25"/>
    <col min="22" max="23" width="9.375"/>
  </cols>
  <sheetData>
    <row r="2" spans="1:21">
      <c r="A2" s="15" t="s">
        <v>2</v>
      </c>
      <c r="B2" s="16" t="s">
        <v>63</v>
      </c>
      <c r="C2" s="17" t="s">
        <v>4</v>
      </c>
      <c r="D2" s="140"/>
      <c r="E2" s="19"/>
      <c r="F2" s="19"/>
      <c r="G2" s="19"/>
      <c r="H2" s="19"/>
      <c r="I2" s="140"/>
      <c r="J2" s="19"/>
      <c r="K2" s="19"/>
      <c r="L2" s="19"/>
      <c r="M2" s="17" t="s">
        <v>5</v>
      </c>
      <c r="N2" s="140"/>
      <c r="O2" s="19"/>
      <c r="P2" s="19"/>
      <c r="Q2" s="19"/>
      <c r="R2" s="17" t="s">
        <v>64</v>
      </c>
      <c r="S2" s="17" t="s">
        <v>65</v>
      </c>
      <c r="T2" s="17" t="s">
        <v>8</v>
      </c>
      <c r="U2" s="20" t="s">
        <v>9</v>
      </c>
    </row>
    <row r="3" ht="54" spans="1:21">
      <c r="A3" s="16"/>
      <c r="B3" s="16"/>
      <c r="C3" s="19" t="s">
        <v>66</v>
      </c>
      <c r="D3" s="141" t="s">
        <v>67</v>
      </c>
      <c r="E3" s="17" t="s">
        <v>11</v>
      </c>
      <c r="F3" s="17" t="s">
        <v>12</v>
      </c>
      <c r="G3" s="17" t="s">
        <v>13</v>
      </c>
      <c r="H3" s="19" t="s">
        <v>68</v>
      </c>
      <c r="I3" s="141" t="s">
        <v>67</v>
      </c>
      <c r="J3" s="17" t="s">
        <v>11</v>
      </c>
      <c r="K3" s="17" t="s">
        <v>12</v>
      </c>
      <c r="L3" s="17" t="s">
        <v>13</v>
      </c>
      <c r="M3" s="17" t="s">
        <v>15</v>
      </c>
      <c r="N3" s="141" t="s">
        <v>67</v>
      </c>
      <c r="O3" s="17" t="s">
        <v>11</v>
      </c>
      <c r="P3" s="17" t="s">
        <v>12</v>
      </c>
      <c r="Q3" s="17" t="s">
        <v>13</v>
      </c>
      <c r="R3" s="19"/>
      <c r="S3" s="19"/>
      <c r="T3" s="19"/>
      <c r="U3" s="18"/>
    </row>
    <row r="4" spans="1:23">
      <c r="A4" s="57">
        <v>1</v>
      </c>
      <c r="B4" s="57" t="s">
        <v>51</v>
      </c>
      <c r="C4" s="170">
        <v>31222.35</v>
      </c>
      <c r="D4" s="58">
        <v>238</v>
      </c>
      <c r="E4" s="170">
        <v>155.72</v>
      </c>
      <c r="F4" s="170">
        <v>132.42</v>
      </c>
      <c r="G4" s="170">
        <v>23.3</v>
      </c>
      <c r="H4" s="170"/>
      <c r="I4" s="58"/>
      <c r="J4" s="170"/>
      <c r="K4" s="170"/>
      <c r="L4" s="170"/>
      <c r="M4" s="170">
        <v>29374.95</v>
      </c>
      <c r="N4" s="58">
        <v>214</v>
      </c>
      <c r="O4" s="170">
        <v>57.65</v>
      </c>
      <c r="P4" s="170">
        <f>+O4-Q4</f>
        <v>56.51</v>
      </c>
      <c r="Q4" s="170">
        <f>1+0.14</f>
        <v>1.14</v>
      </c>
      <c r="R4" s="170">
        <v>213.37</v>
      </c>
      <c r="S4" s="170">
        <f>+R4-T4</f>
        <v>188.93</v>
      </c>
      <c r="T4" s="170">
        <f>24.3+0.14</f>
        <v>24.44</v>
      </c>
      <c r="U4" s="57"/>
      <c r="V4" t="e">
        <f>VLOOKUP(B4,附件1担保费明细表!$B$5:$P$49,18,FALSE)</f>
        <v>#REF!</v>
      </c>
      <c r="W4" t="e">
        <f>+V4-S4</f>
        <v>#REF!</v>
      </c>
    </row>
    <row r="5" spans="1:23">
      <c r="A5" s="57">
        <v>2</v>
      </c>
      <c r="B5" s="57" t="s">
        <v>34</v>
      </c>
      <c r="C5" s="170">
        <v>7562</v>
      </c>
      <c r="D5" s="58">
        <v>32</v>
      </c>
      <c r="E5" s="170">
        <v>36.64</v>
      </c>
      <c r="F5" s="170">
        <v>33.14</v>
      </c>
      <c r="G5" s="170">
        <v>3.5</v>
      </c>
      <c r="H5" s="170">
        <v>3460</v>
      </c>
      <c r="I5" s="58">
        <v>4</v>
      </c>
      <c r="J5" s="170">
        <v>14.77</v>
      </c>
      <c r="K5" s="170">
        <v>14.77</v>
      </c>
      <c r="L5" s="170"/>
      <c r="M5" s="170">
        <v>47417.1</v>
      </c>
      <c r="N5" s="58">
        <v>446</v>
      </c>
      <c r="O5" s="170">
        <v>77.17</v>
      </c>
      <c r="P5" s="170">
        <v>74.71</v>
      </c>
      <c r="Q5" s="170">
        <v>2.46</v>
      </c>
      <c r="R5" s="170">
        <v>128.58</v>
      </c>
      <c r="S5" s="170">
        <v>122.62</v>
      </c>
      <c r="T5" s="170">
        <v>5.96</v>
      </c>
      <c r="U5" s="57"/>
      <c r="V5" t="e">
        <f>VLOOKUP(B5,附件1担保费明细表!$B$5:$P$49,18,FALSE)</f>
        <v>#REF!</v>
      </c>
      <c r="W5" t="e">
        <f t="shared" ref="W5:W50" si="0">+V5-S5</f>
        <v>#REF!</v>
      </c>
    </row>
    <row r="6" spans="1:23">
      <c r="A6" s="57">
        <v>3</v>
      </c>
      <c r="B6" s="57" t="s">
        <v>36</v>
      </c>
      <c r="C6" s="170">
        <v>5257.889271</v>
      </c>
      <c r="D6" s="58">
        <v>22</v>
      </c>
      <c r="E6" s="170">
        <v>23.93</v>
      </c>
      <c r="F6" s="170">
        <v>23.86</v>
      </c>
      <c r="G6" s="170">
        <v>0.07</v>
      </c>
      <c r="H6" s="170">
        <v>700</v>
      </c>
      <c r="I6" s="58">
        <v>1</v>
      </c>
      <c r="J6" s="170">
        <v>3.5</v>
      </c>
      <c r="K6" s="170">
        <v>3.5</v>
      </c>
      <c r="L6" s="170"/>
      <c r="M6" s="170"/>
      <c r="N6" s="58"/>
      <c r="O6" s="170"/>
      <c r="P6" s="170">
        <v>0</v>
      </c>
      <c r="Q6" s="170"/>
      <c r="R6" s="170">
        <v>27.43</v>
      </c>
      <c r="S6" s="170">
        <v>27.36</v>
      </c>
      <c r="T6" s="170">
        <v>0.07</v>
      </c>
      <c r="U6" s="57"/>
      <c r="V6" t="e">
        <f>VLOOKUP(B6,附件1担保费明细表!$B$5:$P$49,18,FALSE)</f>
        <v>#REF!</v>
      </c>
      <c r="W6" t="e">
        <f t="shared" si="0"/>
        <v>#REF!</v>
      </c>
    </row>
    <row r="7" spans="1:23">
      <c r="A7" s="57">
        <v>4</v>
      </c>
      <c r="B7" s="57" t="s">
        <v>16</v>
      </c>
      <c r="C7" s="170">
        <v>35721</v>
      </c>
      <c r="D7" s="58">
        <v>118</v>
      </c>
      <c r="E7" s="170">
        <v>173.09</v>
      </c>
      <c r="F7" s="170">
        <v>166.28</v>
      </c>
      <c r="G7" s="170">
        <v>6.81</v>
      </c>
      <c r="H7" s="170">
        <v>15685</v>
      </c>
      <c r="I7" s="58">
        <v>17</v>
      </c>
      <c r="J7" s="170">
        <v>66.57</v>
      </c>
      <c r="K7" s="170">
        <v>59.11</v>
      </c>
      <c r="L7" s="170">
        <v>7.46</v>
      </c>
      <c r="M7" s="170">
        <v>145313.2</v>
      </c>
      <c r="N7" s="58">
        <v>2052</v>
      </c>
      <c r="O7" s="170">
        <v>290.709999999997</v>
      </c>
      <c r="P7" s="170">
        <v>290.709999999997</v>
      </c>
      <c r="Q7" s="170"/>
      <c r="R7" s="170">
        <v>530.369999999997</v>
      </c>
      <c r="S7" s="170">
        <v>516.099999999997</v>
      </c>
      <c r="T7" s="170">
        <v>14.27</v>
      </c>
      <c r="U7" s="57"/>
      <c r="V7" t="e">
        <f>VLOOKUP(B7,附件1担保费明细表!$B$5:$P$49,18,FALSE)</f>
        <v>#REF!</v>
      </c>
      <c r="W7" t="e">
        <f t="shared" si="0"/>
        <v>#REF!</v>
      </c>
    </row>
    <row r="8" spans="1:23">
      <c r="A8" s="57">
        <v>5</v>
      </c>
      <c r="B8" s="57" t="s">
        <v>47</v>
      </c>
      <c r="C8" s="170">
        <v>1604</v>
      </c>
      <c r="D8" s="58">
        <v>8</v>
      </c>
      <c r="E8" s="170">
        <v>8.02</v>
      </c>
      <c r="F8" s="170">
        <v>8.02</v>
      </c>
      <c r="G8" s="170"/>
      <c r="H8" s="170">
        <v>950</v>
      </c>
      <c r="I8" s="58">
        <v>1</v>
      </c>
      <c r="J8" s="170">
        <v>4.75</v>
      </c>
      <c r="K8" s="170">
        <v>4.75</v>
      </c>
      <c r="L8" s="170"/>
      <c r="M8" s="170"/>
      <c r="N8" s="58"/>
      <c r="O8" s="170"/>
      <c r="P8" s="170">
        <v>0</v>
      </c>
      <c r="Q8" s="170"/>
      <c r="R8" s="170">
        <v>12.77</v>
      </c>
      <c r="S8" s="170">
        <v>12.77</v>
      </c>
      <c r="T8" s="170">
        <v>0</v>
      </c>
      <c r="U8" s="57"/>
      <c r="V8" t="e">
        <f>VLOOKUP(B8,附件1担保费明细表!$B$5:$P$49,18,FALSE)</f>
        <v>#REF!</v>
      </c>
      <c r="W8" t="e">
        <f t="shared" si="0"/>
        <v>#REF!</v>
      </c>
    </row>
    <row r="9" spans="1:23">
      <c r="A9" s="57">
        <v>6</v>
      </c>
      <c r="B9" s="57" t="s">
        <v>54</v>
      </c>
      <c r="C9" s="170">
        <v>490</v>
      </c>
      <c r="D9" s="58">
        <v>1</v>
      </c>
      <c r="E9" s="170">
        <v>2.45</v>
      </c>
      <c r="F9" s="170">
        <v>2.45</v>
      </c>
      <c r="G9" s="170"/>
      <c r="H9" s="170">
        <v>1700</v>
      </c>
      <c r="I9" s="58">
        <v>2</v>
      </c>
      <c r="J9" s="170">
        <v>8.5</v>
      </c>
      <c r="K9" s="170">
        <v>8.5</v>
      </c>
      <c r="L9" s="170"/>
      <c r="M9" s="170"/>
      <c r="N9" s="58"/>
      <c r="O9" s="170"/>
      <c r="P9" s="170">
        <v>0</v>
      </c>
      <c r="Q9" s="170"/>
      <c r="R9" s="170">
        <v>10.95</v>
      </c>
      <c r="S9" s="170">
        <v>10.95</v>
      </c>
      <c r="T9" s="170">
        <v>0</v>
      </c>
      <c r="U9" s="57"/>
      <c r="V9" t="e">
        <f>VLOOKUP(B9,附件1担保费明细表!$B$5:$P$49,18,FALSE)</f>
        <v>#REF!</v>
      </c>
      <c r="W9" t="e">
        <f t="shared" si="0"/>
        <v>#REF!</v>
      </c>
    </row>
    <row r="10" spans="1:23">
      <c r="A10" s="57">
        <v>7</v>
      </c>
      <c r="B10" s="57" t="s">
        <v>60</v>
      </c>
      <c r="C10" s="170">
        <v>900</v>
      </c>
      <c r="D10" s="58">
        <v>2</v>
      </c>
      <c r="E10" s="170">
        <v>4.48</v>
      </c>
      <c r="F10" s="170">
        <v>4.48</v>
      </c>
      <c r="G10" s="170"/>
      <c r="H10" s="170"/>
      <c r="I10" s="58"/>
      <c r="J10" s="170"/>
      <c r="K10" s="170"/>
      <c r="L10" s="170"/>
      <c r="M10" s="170"/>
      <c r="N10" s="58"/>
      <c r="O10" s="170"/>
      <c r="P10" s="170">
        <v>0</v>
      </c>
      <c r="Q10" s="170"/>
      <c r="R10" s="170">
        <v>4.48</v>
      </c>
      <c r="S10" s="170">
        <v>4.48</v>
      </c>
      <c r="T10" s="170">
        <v>0</v>
      </c>
      <c r="U10" s="57"/>
      <c r="V10" t="e">
        <f>VLOOKUP(B10,附件1担保费明细表!$B$5:$P$49,18,FALSE)</f>
        <v>#REF!</v>
      </c>
      <c r="W10" t="e">
        <f t="shared" si="0"/>
        <v>#REF!</v>
      </c>
    </row>
    <row r="11" spans="1:23">
      <c r="A11" s="57">
        <v>8</v>
      </c>
      <c r="B11" s="57" t="s">
        <v>53</v>
      </c>
      <c r="C11" s="170">
        <v>7230</v>
      </c>
      <c r="D11" s="58">
        <v>44</v>
      </c>
      <c r="E11" s="170">
        <v>36.14</v>
      </c>
      <c r="F11" s="170">
        <v>35.74</v>
      </c>
      <c r="G11" s="170">
        <v>0.4</v>
      </c>
      <c r="H11" s="170"/>
      <c r="I11" s="58"/>
      <c r="J11" s="170"/>
      <c r="K11" s="170"/>
      <c r="L11" s="170"/>
      <c r="M11" s="170"/>
      <c r="N11" s="58"/>
      <c r="O11" s="170"/>
      <c r="P11" s="170">
        <v>0</v>
      </c>
      <c r="Q11" s="170"/>
      <c r="R11" s="170">
        <v>36.14</v>
      </c>
      <c r="S11" s="170">
        <v>35.74</v>
      </c>
      <c r="T11" s="170">
        <v>0.4</v>
      </c>
      <c r="U11" s="57"/>
      <c r="V11" t="e">
        <f>VLOOKUP(B11,附件1担保费明细表!$B$5:$P$49,18,FALSE)</f>
        <v>#REF!</v>
      </c>
      <c r="W11" t="e">
        <f t="shared" si="0"/>
        <v>#REF!</v>
      </c>
    </row>
    <row r="12" spans="1:23">
      <c r="A12" s="57">
        <v>9</v>
      </c>
      <c r="B12" s="57" t="s">
        <v>39</v>
      </c>
      <c r="C12" s="170">
        <v>1179.9999</v>
      </c>
      <c r="D12" s="58">
        <v>3</v>
      </c>
      <c r="E12" s="170">
        <v>5.9</v>
      </c>
      <c r="F12" s="170">
        <v>5.9</v>
      </c>
      <c r="G12" s="170"/>
      <c r="H12" s="170"/>
      <c r="I12" s="58"/>
      <c r="J12" s="170"/>
      <c r="K12" s="170"/>
      <c r="L12" s="170"/>
      <c r="M12" s="170"/>
      <c r="N12" s="58"/>
      <c r="O12" s="170"/>
      <c r="P12" s="170">
        <v>0</v>
      </c>
      <c r="Q12" s="170"/>
      <c r="R12" s="170">
        <v>5.9</v>
      </c>
      <c r="S12" s="170">
        <v>5.9</v>
      </c>
      <c r="T12" s="170">
        <v>0</v>
      </c>
      <c r="U12" s="57"/>
      <c r="V12" t="e">
        <f>VLOOKUP(B12,附件1担保费明细表!$B$5:$P$49,18,FALSE)</f>
        <v>#REF!</v>
      </c>
      <c r="W12" t="e">
        <f t="shared" si="0"/>
        <v>#REF!</v>
      </c>
    </row>
    <row r="13" spans="1:23">
      <c r="A13" s="57">
        <v>10</v>
      </c>
      <c r="B13" s="57" t="s">
        <v>46</v>
      </c>
      <c r="C13" s="170">
        <v>23701</v>
      </c>
      <c r="D13" s="58">
        <v>182</v>
      </c>
      <c r="E13" s="170">
        <v>115.51</v>
      </c>
      <c r="F13" s="170">
        <v>98.27</v>
      </c>
      <c r="G13" s="170">
        <v>17.24</v>
      </c>
      <c r="H13" s="170">
        <v>2000</v>
      </c>
      <c r="I13" s="58">
        <v>2</v>
      </c>
      <c r="J13" s="170">
        <v>7.43</v>
      </c>
      <c r="K13" s="170">
        <v>7.43</v>
      </c>
      <c r="L13" s="170"/>
      <c r="M13" s="170"/>
      <c r="N13" s="58"/>
      <c r="O13" s="170"/>
      <c r="P13" s="170">
        <v>0</v>
      </c>
      <c r="Q13" s="170"/>
      <c r="R13" s="170">
        <v>122.94</v>
      </c>
      <c r="S13" s="170">
        <v>105.7</v>
      </c>
      <c r="T13" s="170">
        <v>17.24</v>
      </c>
      <c r="U13" s="57"/>
      <c r="V13" t="e">
        <f>VLOOKUP(B13,附件1担保费明细表!$B$5:$P$49,18,FALSE)</f>
        <v>#REF!</v>
      </c>
      <c r="W13" t="e">
        <f t="shared" si="0"/>
        <v>#REF!</v>
      </c>
    </row>
    <row r="14" spans="1:23">
      <c r="A14" s="57">
        <v>11</v>
      </c>
      <c r="B14" s="57" t="s">
        <v>55</v>
      </c>
      <c r="C14" s="170">
        <v>4865</v>
      </c>
      <c r="D14" s="58">
        <v>18</v>
      </c>
      <c r="E14" s="170">
        <v>20.63</v>
      </c>
      <c r="F14" s="170">
        <v>17.55</v>
      </c>
      <c r="G14" s="170">
        <v>3.08</v>
      </c>
      <c r="H14" s="170">
        <v>3380</v>
      </c>
      <c r="I14" s="58">
        <v>4</v>
      </c>
      <c r="J14" s="170">
        <v>16.75</v>
      </c>
      <c r="K14" s="170">
        <v>9.24</v>
      </c>
      <c r="L14" s="170">
        <v>7.51</v>
      </c>
      <c r="M14" s="170">
        <v>6191.8</v>
      </c>
      <c r="N14" s="58">
        <v>45</v>
      </c>
      <c r="O14" s="170">
        <v>12</v>
      </c>
      <c r="P14" s="170">
        <v>10.39</v>
      </c>
      <c r="Q14" s="170">
        <v>1.61</v>
      </c>
      <c r="R14" s="170">
        <v>49.38</v>
      </c>
      <c r="S14" s="170">
        <v>37.18</v>
      </c>
      <c r="T14" s="170">
        <v>12.2</v>
      </c>
      <c r="U14" s="57"/>
      <c r="V14" t="e">
        <f>VLOOKUP(B14,附件1担保费明细表!$B$5:$P$49,18,FALSE)</f>
        <v>#REF!</v>
      </c>
      <c r="W14" t="e">
        <f t="shared" si="0"/>
        <v>#REF!</v>
      </c>
    </row>
    <row r="15" spans="1:23">
      <c r="A15" s="57">
        <v>12</v>
      </c>
      <c r="B15" s="57" t="s">
        <v>22</v>
      </c>
      <c r="C15" s="170">
        <v>19918.5</v>
      </c>
      <c r="D15" s="58">
        <v>201</v>
      </c>
      <c r="E15" s="170">
        <v>98.12</v>
      </c>
      <c r="F15" s="170">
        <v>92.63</v>
      </c>
      <c r="G15" s="170">
        <v>5.49</v>
      </c>
      <c r="H15" s="170">
        <v>4238</v>
      </c>
      <c r="I15" s="58">
        <v>5</v>
      </c>
      <c r="J15" s="170">
        <v>18.08</v>
      </c>
      <c r="K15" s="170">
        <v>18.08</v>
      </c>
      <c r="L15" s="170"/>
      <c r="M15" s="170">
        <v>22692</v>
      </c>
      <c r="N15" s="58">
        <v>255</v>
      </c>
      <c r="O15" s="170">
        <v>44.96</v>
      </c>
      <c r="P15" s="170">
        <v>42.03</v>
      </c>
      <c r="Q15" s="170">
        <v>2.93</v>
      </c>
      <c r="R15" s="170">
        <v>161.16</v>
      </c>
      <c r="S15" s="170">
        <v>152.74</v>
      </c>
      <c r="T15" s="170">
        <v>8.42</v>
      </c>
      <c r="U15" s="57"/>
      <c r="V15" t="e">
        <f>VLOOKUP(B15,附件1担保费明细表!$B$5:$P$49,18,FALSE)</f>
        <v>#REF!</v>
      </c>
      <c r="W15" t="e">
        <f t="shared" si="0"/>
        <v>#REF!</v>
      </c>
    </row>
    <row r="16" spans="1:23">
      <c r="A16" s="57">
        <v>13</v>
      </c>
      <c r="B16" s="57" t="s">
        <v>43</v>
      </c>
      <c r="C16" s="170">
        <v>500</v>
      </c>
      <c r="D16" s="58">
        <v>1</v>
      </c>
      <c r="E16" s="170">
        <v>2.5</v>
      </c>
      <c r="F16" s="170">
        <v>2.5</v>
      </c>
      <c r="G16" s="170"/>
      <c r="H16" s="170"/>
      <c r="I16" s="58"/>
      <c r="J16" s="170"/>
      <c r="K16" s="170"/>
      <c r="L16" s="170"/>
      <c r="M16" s="170"/>
      <c r="N16" s="58"/>
      <c r="O16" s="170"/>
      <c r="P16" s="170">
        <v>0</v>
      </c>
      <c r="Q16" s="170"/>
      <c r="R16" s="170">
        <v>2.5</v>
      </c>
      <c r="S16" s="170">
        <v>2.5</v>
      </c>
      <c r="T16" s="170">
        <v>0</v>
      </c>
      <c r="U16" s="57"/>
      <c r="V16" t="e">
        <f>VLOOKUP(B16,附件1担保费明细表!$B$5:$P$49,18,FALSE)</f>
        <v>#REF!</v>
      </c>
      <c r="W16" t="e">
        <f t="shared" si="0"/>
        <v>#REF!</v>
      </c>
    </row>
    <row r="17" spans="1:23">
      <c r="A17" s="57">
        <v>14</v>
      </c>
      <c r="B17" s="171" t="s">
        <v>31</v>
      </c>
      <c r="C17" s="36">
        <v>3705</v>
      </c>
      <c r="D17" s="43">
        <v>14</v>
      </c>
      <c r="E17" s="36">
        <v>18.51</v>
      </c>
      <c r="F17" s="36">
        <v>11.5</v>
      </c>
      <c r="G17" s="36">
        <v>7.01</v>
      </c>
      <c r="H17" s="36">
        <v>900</v>
      </c>
      <c r="I17" s="43">
        <v>1</v>
      </c>
      <c r="J17" s="36">
        <v>4.5</v>
      </c>
      <c r="K17" s="36">
        <v>4.5</v>
      </c>
      <c r="L17" s="36"/>
      <c r="M17" s="159"/>
      <c r="N17" s="160"/>
      <c r="O17" s="159"/>
      <c r="P17" s="161">
        <v>0</v>
      </c>
      <c r="Q17" s="159"/>
      <c r="R17" s="165">
        <v>23.01</v>
      </c>
      <c r="S17" s="165">
        <v>16</v>
      </c>
      <c r="T17" s="165">
        <v>7.01</v>
      </c>
      <c r="U17" s="57"/>
      <c r="V17" t="e">
        <f>VLOOKUP(B17,附件1担保费明细表!$B$5:$P$49,18,FALSE)</f>
        <v>#REF!</v>
      </c>
      <c r="W17" t="e">
        <f t="shared" si="0"/>
        <v>#REF!</v>
      </c>
    </row>
    <row r="18" spans="1:23">
      <c r="A18" s="57">
        <v>15</v>
      </c>
      <c r="B18" s="57" t="s">
        <v>17</v>
      </c>
      <c r="C18" s="36">
        <v>35529.302217</v>
      </c>
      <c r="D18" s="43">
        <v>170</v>
      </c>
      <c r="E18" s="36">
        <v>171.15</v>
      </c>
      <c r="F18" s="36">
        <v>158.28</v>
      </c>
      <c r="G18" s="36">
        <v>12.87</v>
      </c>
      <c r="H18" s="36">
        <v>14250</v>
      </c>
      <c r="I18" s="43">
        <v>17</v>
      </c>
      <c r="J18" s="36">
        <v>70.16</v>
      </c>
      <c r="K18" s="36">
        <v>42.18</v>
      </c>
      <c r="L18" s="36">
        <v>27.98</v>
      </c>
      <c r="M18" s="159">
        <v>20488.2</v>
      </c>
      <c r="N18" s="160">
        <v>199</v>
      </c>
      <c r="O18" s="159">
        <v>35.04</v>
      </c>
      <c r="P18" s="161">
        <v>35.04</v>
      </c>
      <c r="Q18" s="159"/>
      <c r="R18" s="165">
        <v>276.35</v>
      </c>
      <c r="S18" s="165">
        <v>235.5</v>
      </c>
      <c r="T18" s="165">
        <v>40.85</v>
      </c>
      <c r="U18" s="57"/>
      <c r="V18" t="e">
        <f>VLOOKUP(B18,附件1担保费明细表!$B$5:$P$49,18,FALSE)</f>
        <v>#REF!</v>
      </c>
      <c r="W18" t="e">
        <f t="shared" si="0"/>
        <v>#REF!</v>
      </c>
    </row>
    <row r="19" spans="1:23">
      <c r="A19" s="57">
        <v>16</v>
      </c>
      <c r="B19" s="57" t="s">
        <v>49</v>
      </c>
      <c r="C19" s="36">
        <v>10038</v>
      </c>
      <c r="D19" s="43">
        <v>69</v>
      </c>
      <c r="E19" s="36">
        <v>50.02</v>
      </c>
      <c r="F19" s="36">
        <v>45.97</v>
      </c>
      <c r="G19" s="36">
        <v>4.05</v>
      </c>
      <c r="H19" s="36">
        <v>1700</v>
      </c>
      <c r="I19" s="43">
        <v>2</v>
      </c>
      <c r="J19" s="36">
        <v>8.49</v>
      </c>
      <c r="K19" s="36">
        <v>8.49</v>
      </c>
      <c r="L19" s="36"/>
      <c r="M19" s="159"/>
      <c r="N19" s="160"/>
      <c r="O19" s="159"/>
      <c r="P19" s="161"/>
      <c r="Q19" s="159"/>
      <c r="R19" s="165">
        <v>58.51</v>
      </c>
      <c r="S19" s="165">
        <v>54.46</v>
      </c>
      <c r="T19" s="165">
        <v>4.05</v>
      </c>
      <c r="U19" s="57"/>
      <c r="V19" t="e">
        <f>VLOOKUP(B19,附件1担保费明细表!$B$5:$P$49,18,FALSE)</f>
        <v>#REF!</v>
      </c>
      <c r="W19" t="e">
        <f t="shared" si="0"/>
        <v>#REF!</v>
      </c>
    </row>
    <row r="20" spans="1:23">
      <c r="A20" s="57">
        <v>17</v>
      </c>
      <c r="B20" s="57" t="s">
        <v>30</v>
      </c>
      <c r="C20" s="36">
        <v>6020</v>
      </c>
      <c r="D20" s="43">
        <v>19</v>
      </c>
      <c r="E20" s="36">
        <v>29.87</v>
      </c>
      <c r="F20" s="36">
        <v>27.38</v>
      </c>
      <c r="G20" s="36">
        <v>2.49</v>
      </c>
      <c r="H20" s="36">
        <v>3200</v>
      </c>
      <c r="I20" s="43">
        <v>4</v>
      </c>
      <c r="J20" s="36">
        <v>15.95</v>
      </c>
      <c r="K20" s="36">
        <v>15.95</v>
      </c>
      <c r="L20" s="36"/>
      <c r="M20" s="159"/>
      <c r="N20" s="160"/>
      <c r="O20" s="159"/>
      <c r="P20" s="161">
        <v>0</v>
      </c>
      <c r="Q20" s="159"/>
      <c r="R20" s="165">
        <v>45.82</v>
      </c>
      <c r="S20" s="165">
        <v>43.33</v>
      </c>
      <c r="T20" s="165">
        <v>2.49</v>
      </c>
      <c r="U20" s="57"/>
      <c r="V20" t="e">
        <f>VLOOKUP(B20,附件1担保费明细表!$B$5:$P$49,18,FALSE)</f>
        <v>#REF!</v>
      </c>
      <c r="W20" t="e">
        <f t="shared" si="0"/>
        <v>#REF!</v>
      </c>
    </row>
    <row r="21" spans="1:23">
      <c r="A21" s="57">
        <v>18</v>
      </c>
      <c r="B21" s="57" t="s">
        <v>32</v>
      </c>
      <c r="C21" s="36">
        <v>6266</v>
      </c>
      <c r="D21" s="43">
        <v>22</v>
      </c>
      <c r="E21" s="36">
        <v>31.2</v>
      </c>
      <c r="F21" s="36">
        <v>31.2</v>
      </c>
      <c r="G21" s="36"/>
      <c r="H21" s="36">
        <v>1000</v>
      </c>
      <c r="I21" s="43">
        <v>1</v>
      </c>
      <c r="J21" s="36">
        <v>4.99</v>
      </c>
      <c r="K21" s="36">
        <v>4.99</v>
      </c>
      <c r="L21" s="36"/>
      <c r="M21" s="159"/>
      <c r="N21" s="160"/>
      <c r="O21" s="159"/>
      <c r="P21" s="161">
        <v>0</v>
      </c>
      <c r="Q21" s="159"/>
      <c r="R21" s="165">
        <v>36.19</v>
      </c>
      <c r="S21" s="165">
        <v>36.19</v>
      </c>
      <c r="T21" s="165">
        <v>0</v>
      </c>
      <c r="U21" s="57"/>
      <c r="V21" t="e">
        <f>VLOOKUP(B21,附件1担保费明细表!$B$5:$P$49,18,FALSE)</f>
        <v>#REF!</v>
      </c>
      <c r="W21" t="e">
        <f t="shared" si="0"/>
        <v>#REF!</v>
      </c>
    </row>
    <row r="22" spans="1:23">
      <c r="A22" s="57">
        <v>19</v>
      </c>
      <c r="B22" s="57" t="s">
        <v>19</v>
      </c>
      <c r="C22" s="36">
        <v>2505</v>
      </c>
      <c r="D22" s="43">
        <v>12</v>
      </c>
      <c r="E22" s="36">
        <v>11.78</v>
      </c>
      <c r="F22" s="36">
        <v>9.48</v>
      </c>
      <c r="G22" s="36">
        <v>2.3</v>
      </c>
      <c r="H22" s="36">
        <v>3900</v>
      </c>
      <c r="I22" s="43">
        <v>4</v>
      </c>
      <c r="J22" s="36">
        <v>19.46</v>
      </c>
      <c r="K22" s="36">
        <v>19.46</v>
      </c>
      <c r="L22" s="36"/>
      <c r="M22" s="159"/>
      <c r="N22" s="160"/>
      <c r="O22" s="159"/>
      <c r="P22" s="161"/>
      <c r="Q22" s="159"/>
      <c r="R22" s="165">
        <v>31.24</v>
      </c>
      <c r="S22" s="165">
        <v>28.94</v>
      </c>
      <c r="T22" s="165">
        <v>2.3</v>
      </c>
      <c r="U22" s="57"/>
      <c r="V22" t="e">
        <f>VLOOKUP(B22,附件1担保费明细表!$B$5:$P$49,18,FALSE)</f>
        <v>#REF!</v>
      </c>
      <c r="W22" t="e">
        <f t="shared" si="0"/>
        <v>#REF!</v>
      </c>
    </row>
    <row r="23" spans="1:23">
      <c r="A23" s="57">
        <v>20</v>
      </c>
      <c r="B23" s="57" t="s">
        <v>33</v>
      </c>
      <c r="C23" s="36">
        <v>16140</v>
      </c>
      <c r="D23" s="43">
        <v>48</v>
      </c>
      <c r="E23" s="36">
        <v>79.19</v>
      </c>
      <c r="F23" s="36">
        <v>60.69</v>
      </c>
      <c r="G23" s="36">
        <v>18.5</v>
      </c>
      <c r="H23" s="36">
        <v>920</v>
      </c>
      <c r="I23" s="43">
        <v>1</v>
      </c>
      <c r="J23" s="36">
        <v>4.6</v>
      </c>
      <c r="K23" s="36">
        <v>4.6</v>
      </c>
      <c r="L23" s="36"/>
      <c r="M23" s="159"/>
      <c r="N23" s="160"/>
      <c r="O23" s="159"/>
      <c r="P23" s="161"/>
      <c r="Q23" s="159"/>
      <c r="R23" s="165">
        <v>83.79</v>
      </c>
      <c r="S23" s="165">
        <v>65.29</v>
      </c>
      <c r="T23" s="165">
        <v>18.5</v>
      </c>
      <c r="U23" s="57"/>
      <c r="V23" t="e">
        <f>VLOOKUP(B23,附件1担保费明细表!$B$5:$P$49,18,FALSE)</f>
        <v>#REF!</v>
      </c>
      <c r="W23" t="e">
        <f t="shared" si="0"/>
        <v>#REF!</v>
      </c>
    </row>
    <row r="24" spans="1:23">
      <c r="A24" s="57">
        <v>21</v>
      </c>
      <c r="B24" s="57" t="s">
        <v>37</v>
      </c>
      <c r="C24" s="36">
        <v>7718</v>
      </c>
      <c r="D24" s="43">
        <v>39</v>
      </c>
      <c r="E24" s="36">
        <v>37.66</v>
      </c>
      <c r="F24" s="36">
        <v>37.65</v>
      </c>
      <c r="G24" s="36">
        <v>0.01</v>
      </c>
      <c r="H24" s="36">
        <v>1000</v>
      </c>
      <c r="I24" s="43">
        <v>1</v>
      </c>
      <c r="J24" s="36">
        <v>5</v>
      </c>
      <c r="K24" s="36">
        <v>5</v>
      </c>
      <c r="L24" s="36"/>
      <c r="M24" s="159"/>
      <c r="N24" s="160"/>
      <c r="O24" s="159"/>
      <c r="P24" s="161">
        <v>0</v>
      </c>
      <c r="Q24" s="159"/>
      <c r="R24" s="165">
        <v>42.66</v>
      </c>
      <c r="S24" s="165">
        <v>42.65</v>
      </c>
      <c r="T24" s="165">
        <v>0.01</v>
      </c>
      <c r="U24" s="57"/>
      <c r="V24" t="e">
        <f>VLOOKUP(B24,附件1担保费明细表!$B$5:$P$49,18,FALSE)</f>
        <v>#REF!</v>
      </c>
      <c r="W24" t="e">
        <f t="shared" si="0"/>
        <v>#REF!</v>
      </c>
    </row>
    <row r="25" spans="1:23">
      <c r="A25" s="57">
        <v>22</v>
      </c>
      <c r="B25" s="57" t="s">
        <v>41</v>
      </c>
      <c r="C25" s="36">
        <v>8834</v>
      </c>
      <c r="D25" s="43">
        <v>158</v>
      </c>
      <c r="E25" s="36">
        <v>44.51</v>
      </c>
      <c r="F25" s="36">
        <v>43.99</v>
      </c>
      <c r="G25" s="36">
        <v>0.52</v>
      </c>
      <c r="H25" s="36">
        <v>1600</v>
      </c>
      <c r="I25" s="43">
        <v>2</v>
      </c>
      <c r="J25" s="36">
        <v>7.98</v>
      </c>
      <c r="K25" s="36">
        <v>3.98</v>
      </c>
      <c r="L25" s="36">
        <v>4</v>
      </c>
      <c r="M25" s="159"/>
      <c r="N25" s="160"/>
      <c r="O25" s="159"/>
      <c r="P25" s="161">
        <v>0</v>
      </c>
      <c r="Q25" s="159"/>
      <c r="R25" s="165">
        <v>52.49</v>
      </c>
      <c r="S25" s="165">
        <v>47.97</v>
      </c>
      <c r="T25" s="165">
        <v>4.52</v>
      </c>
      <c r="U25" s="57"/>
      <c r="V25" t="e">
        <f>VLOOKUP(B25,附件1担保费明细表!$B$5:$P$49,18,FALSE)</f>
        <v>#REF!</v>
      </c>
      <c r="W25" t="e">
        <f t="shared" si="0"/>
        <v>#REF!</v>
      </c>
    </row>
    <row r="26" spans="1:23">
      <c r="A26" s="57">
        <v>23</v>
      </c>
      <c r="B26" s="57" t="s">
        <v>20</v>
      </c>
      <c r="C26" s="36">
        <v>8107.8</v>
      </c>
      <c r="D26" s="43">
        <v>34</v>
      </c>
      <c r="E26" s="36">
        <v>40.3</v>
      </c>
      <c r="F26" s="36">
        <v>39.84</v>
      </c>
      <c r="G26" s="36">
        <v>0.46</v>
      </c>
      <c r="H26" s="36">
        <v>900</v>
      </c>
      <c r="I26" s="43">
        <v>1</v>
      </c>
      <c r="J26" s="36">
        <v>4.49</v>
      </c>
      <c r="K26" s="36">
        <v>4.49</v>
      </c>
      <c r="L26" s="36"/>
      <c r="M26" s="159">
        <v>12769.2</v>
      </c>
      <c r="N26" s="160">
        <v>106</v>
      </c>
      <c r="O26" s="159">
        <v>21.69</v>
      </c>
      <c r="P26" s="161">
        <v>21.69</v>
      </c>
      <c r="Q26" s="159"/>
      <c r="R26" s="165">
        <v>66.48</v>
      </c>
      <c r="S26" s="165">
        <v>66.02</v>
      </c>
      <c r="T26" s="165">
        <v>0.46</v>
      </c>
      <c r="U26" s="57"/>
      <c r="V26" t="e">
        <f>VLOOKUP(B26,附件1担保费明细表!$B$5:$P$49,18,FALSE)</f>
        <v>#REF!</v>
      </c>
      <c r="W26" t="e">
        <f t="shared" si="0"/>
        <v>#REF!</v>
      </c>
    </row>
    <row r="27" spans="1:23">
      <c r="A27" s="57">
        <v>24</v>
      </c>
      <c r="B27" s="57" t="s">
        <v>27</v>
      </c>
      <c r="C27" s="36">
        <v>12810</v>
      </c>
      <c r="D27" s="43">
        <v>28</v>
      </c>
      <c r="E27" s="36">
        <v>63.36</v>
      </c>
      <c r="F27" s="36">
        <v>63.36</v>
      </c>
      <c r="G27" s="36"/>
      <c r="H27" s="36">
        <v>8630</v>
      </c>
      <c r="I27" s="43">
        <v>10</v>
      </c>
      <c r="J27" s="36">
        <v>43.05</v>
      </c>
      <c r="K27" s="36">
        <v>43.05</v>
      </c>
      <c r="L27" s="36"/>
      <c r="M27" s="159"/>
      <c r="N27" s="160"/>
      <c r="O27" s="159"/>
      <c r="P27" s="161">
        <v>0</v>
      </c>
      <c r="Q27" s="159"/>
      <c r="R27" s="165">
        <v>106.41</v>
      </c>
      <c r="S27" s="165">
        <v>106.41</v>
      </c>
      <c r="T27" s="165">
        <v>0</v>
      </c>
      <c r="U27" s="57"/>
      <c r="V27" t="e">
        <f>VLOOKUP(B27,附件1担保费明细表!$B$5:$P$49,18,FALSE)</f>
        <v>#REF!</v>
      </c>
      <c r="W27" t="e">
        <f t="shared" si="0"/>
        <v>#REF!</v>
      </c>
    </row>
    <row r="28" spans="1:23">
      <c r="A28" s="57">
        <v>25</v>
      </c>
      <c r="B28" s="57" t="s">
        <v>26</v>
      </c>
      <c r="C28" s="36">
        <v>33342.48</v>
      </c>
      <c r="D28" s="43">
        <v>233</v>
      </c>
      <c r="E28" s="36">
        <v>164.9</v>
      </c>
      <c r="F28" s="36">
        <v>159.52</v>
      </c>
      <c r="G28" s="36">
        <v>5.38</v>
      </c>
      <c r="H28" s="36">
        <v>4844.158048</v>
      </c>
      <c r="I28" s="43">
        <v>6</v>
      </c>
      <c r="J28" s="36">
        <v>24.15</v>
      </c>
      <c r="K28" s="36">
        <v>19.68</v>
      </c>
      <c r="L28" s="36">
        <v>4.47</v>
      </c>
      <c r="M28" s="159">
        <v>20418</v>
      </c>
      <c r="N28" s="160">
        <v>277</v>
      </c>
      <c r="O28" s="159">
        <v>18.85</v>
      </c>
      <c r="P28" s="161">
        <v>18.65</v>
      </c>
      <c r="Q28" s="159">
        <v>0.2</v>
      </c>
      <c r="R28" s="165">
        <v>207.9</v>
      </c>
      <c r="S28" s="165">
        <v>197.85</v>
      </c>
      <c r="T28" s="165">
        <v>10.05</v>
      </c>
      <c r="U28" s="57"/>
      <c r="V28" t="e">
        <f>VLOOKUP(B28,附件1担保费明细表!$B$5:$P$49,18,FALSE)</f>
        <v>#REF!</v>
      </c>
      <c r="W28" t="e">
        <f t="shared" si="0"/>
        <v>#REF!</v>
      </c>
    </row>
    <row r="29" spans="1:23">
      <c r="A29" s="57">
        <v>26</v>
      </c>
      <c r="B29" s="57" t="s">
        <v>28</v>
      </c>
      <c r="C29" s="36">
        <v>7339</v>
      </c>
      <c r="D29" s="43">
        <v>23</v>
      </c>
      <c r="E29" s="36">
        <v>36.36</v>
      </c>
      <c r="F29" s="36">
        <v>36.36</v>
      </c>
      <c r="G29" s="36"/>
      <c r="H29" s="36"/>
      <c r="I29" s="43"/>
      <c r="J29" s="36"/>
      <c r="K29" s="36"/>
      <c r="L29" s="36"/>
      <c r="M29" s="159">
        <v>2232.9</v>
      </c>
      <c r="N29" s="160">
        <v>9</v>
      </c>
      <c r="O29" s="159">
        <v>4.46</v>
      </c>
      <c r="P29" s="161">
        <v>4.46</v>
      </c>
      <c r="Q29" s="159"/>
      <c r="R29" s="165">
        <v>40.82</v>
      </c>
      <c r="S29" s="165">
        <v>40.82</v>
      </c>
      <c r="T29" s="165">
        <v>0</v>
      </c>
      <c r="U29" s="57"/>
      <c r="V29" t="e">
        <f>VLOOKUP(B29,附件1担保费明细表!$B$5:$P$49,18,FALSE)</f>
        <v>#REF!</v>
      </c>
      <c r="W29" t="e">
        <f t="shared" si="0"/>
        <v>#REF!</v>
      </c>
    </row>
    <row r="30" spans="1:23">
      <c r="A30" s="57">
        <v>27</v>
      </c>
      <c r="B30" s="57" t="s">
        <v>45</v>
      </c>
      <c r="C30" s="36">
        <v>10154.7</v>
      </c>
      <c r="D30" s="43">
        <v>51</v>
      </c>
      <c r="E30" s="36">
        <v>49.64</v>
      </c>
      <c r="F30" s="36">
        <v>37.82</v>
      </c>
      <c r="G30" s="36">
        <v>11.82</v>
      </c>
      <c r="H30" s="36">
        <v>880</v>
      </c>
      <c r="I30" s="43">
        <v>1</v>
      </c>
      <c r="J30" s="36">
        <v>2.19</v>
      </c>
      <c r="K30" s="36">
        <v>0</v>
      </c>
      <c r="L30" s="36">
        <v>2.19</v>
      </c>
      <c r="M30" s="159">
        <v>74723.26</v>
      </c>
      <c r="N30" s="160">
        <v>432</v>
      </c>
      <c r="O30" s="159">
        <v>123.38</v>
      </c>
      <c r="P30" s="161">
        <v>24.68</v>
      </c>
      <c r="Q30" s="159">
        <v>98.7</v>
      </c>
      <c r="R30" s="165">
        <v>175.21</v>
      </c>
      <c r="S30" s="165">
        <v>62.5</v>
      </c>
      <c r="T30" s="165">
        <v>112.71</v>
      </c>
      <c r="U30" s="57"/>
      <c r="V30" t="e">
        <f>VLOOKUP(B30,附件1担保费明细表!$B$5:$P$49,18,FALSE)</f>
        <v>#REF!</v>
      </c>
      <c r="W30" t="e">
        <f t="shared" si="0"/>
        <v>#REF!</v>
      </c>
    </row>
    <row r="31" spans="1:23">
      <c r="A31" s="57">
        <v>28</v>
      </c>
      <c r="B31" s="171" t="s">
        <v>59</v>
      </c>
      <c r="C31" s="57">
        <v>500</v>
      </c>
      <c r="D31" s="58">
        <v>1</v>
      </c>
      <c r="E31" s="57">
        <v>2.5</v>
      </c>
      <c r="F31" s="57">
        <v>2.5</v>
      </c>
      <c r="G31" s="57">
        <v>0</v>
      </c>
      <c r="H31" s="57">
        <v>0</v>
      </c>
      <c r="I31" s="58">
        <v>0</v>
      </c>
      <c r="J31" s="57">
        <v>0</v>
      </c>
      <c r="K31" s="57">
        <v>0</v>
      </c>
      <c r="L31" s="57">
        <v>0</v>
      </c>
      <c r="M31" s="57">
        <v>0</v>
      </c>
      <c r="N31" s="58">
        <v>0</v>
      </c>
      <c r="O31" s="57">
        <v>0</v>
      </c>
      <c r="P31" s="57">
        <v>0</v>
      </c>
      <c r="Q31" s="57">
        <v>0</v>
      </c>
      <c r="R31" s="57">
        <v>2.5</v>
      </c>
      <c r="S31" s="57">
        <v>2.5</v>
      </c>
      <c r="T31" s="57">
        <v>0</v>
      </c>
      <c r="U31" s="57"/>
      <c r="V31" t="e">
        <f>VLOOKUP(B31,附件1担保费明细表!$B$5:$P$49,18,FALSE)</f>
        <v>#REF!</v>
      </c>
      <c r="W31" t="e">
        <f t="shared" si="0"/>
        <v>#REF!</v>
      </c>
    </row>
    <row r="32" spans="1:23">
      <c r="A32" s="57">
        <v>29</v>
      </c>
      <c r="B32" s="57" t="s">
        <v>58</v>
      </c>
      <c r="C32" s="57">
        <v>590</v>
      </c>
      <c r="D32" s="58">
        <v>3</v>
      </c>
      <c r="E32" s="57">
        <v>2.89</v>
      </c>
      <c r="F32" s="57">
        <v>2.77</v>
      </c>
      <c r="G32" s="57">
        <v>0.12</v>
      </c>
      <c r="H32" s="57">
        <v>0</v>
      </c>
      <c r="I32" s="58">
        <v>0</v>
      </c>
      <c r="J32" s="57">
        <v>0</v>
      </c>
      <c r="K32" s="57">
        <v>0</v>
      </c>
      <c r="L32" s="57">
        <v>0</v>
      </c>
      <c r="M32" s="57">
        <v>0</v>
      </c>
      <c r="N32" s="58">
        <v>0</v>
      </c>
      <c r="O32" s="57">
        <v>0</v>
      </c>
      <c r="P32" s="57">
        <v>0</v>
      </c>
      <c r="Q32" s="57">
        <v>0</v>
      </c>
      <c r="R32" s="57">
        <v>2.89</v>
      </c>
      <c r="S32" s="57">
        <v>2.77</v>
      </c>
      <c r="T32" s="57">
        <v>0.12</v>
      </c>
      <c r="U32" s="57"/>
      <c r="V32" t="e">
        <f>VLOOKUP(B32,附件1担保费明细表!$B$5:$P$49,18,FALSE)</f>
        <v>#REF!</v>
      </c>
      <c r="W32" t="e">
        <f t="shared" si="0"/>
        <v>#REF!</v>
      </c>
    </row>
    <row r="33" spans="1:23">
      <c r="A33" s="57">
        <v>30</v>
      </c>
      <c r="B33" s="57" t="s">
        <v>44</v>
      </c>
      <c r="C33" s="57">
        <v>4510.5982</v>
      </c>
      <c r="D33" s="58">
        <v>17</v>
      </c>
      <c r="E33" s="57">
        <v>21.56</v>
      </c>
      <c r="F33" s="57">
        <v>21.56</v>
      </c>
      <c r="G33" s="57">
        <v>0</v>
      </c>
      <c r="H33" s="57">
        <v>1800</v>
      </c>
      <c r="I33" s="58">
        <v>2</v>
      </c>
      <c r="J33" s="57">
        <v>6.48</v>
      </c>
      <c r="K33" s="57">
        <v>6.48</v>
      </c>
      <c r="L33" s="57">
        <v>0</v>
      </c>
      <c r="M33" s="57">
        <v>0</v>
      </c>
      <c r="N33" s="58">
        <v>0</v>
      </c>
      <c r="O33" s="57">
        <v>0</v>
      </c>
      <c r="P33" s="57">
        <v>0</v>
      </c>
      <c r="Q33" s="57">
        <v>0</v>
      </c>
      <c r="R33" s="57">
        <v>28.04</v>
      </c>
      <c r="S33" s="57">
        <v>28.04</v>
      </c>
      <c r="T33" s="57">
        <v>0</v>
      </c>
      <c r="U33" s="57"/>
      <c r="V33" t="e">
        <f>VLOOKUP(B33,附件1担保费明细表!$B$5:$P$49,18,FALSE)</f>
        <v>#REF!</v>
      </c>
      <c r="W33" t="e">
        <f t="shared" si="0"/>
        <v>#REF!</v>
      </c>
    </row>
    <row r="34" spans="1:23">
      <c r="A34" s="57">
        <v>31</v>
      </c>
      <c r="B34" s="57" t="s">
        <v>52</v>
      </c>
      <c r="C34" s="57">
        <v>26395.01296</v>
      </c>
      <c r="D34" s="58">
        <v>122</v>
      </c>
      <c r="E34" s="57">
        <v>131.94</v>
      </c>
      <c r="F34" s="57">
        <v>123.89</v>
      </c>
      <c r="G34" s="57">
        <v>8.05</v>
      </c>
      <c r="H34" s="57">
        <v>6980</v>
      </c>
      <c r="I34" s="58">
        <v>8</v>
      </c>
      <c r="J34" s="57">
        <v>34.89</v>
      </c>
      <c r="K34" s="57">
        <v>30.04</v>
      </c>
      <c r="L34" s="57">
        <v>4.85</v>
      </c>
      <c r="M34" s="57">
        <v>16662.3</v>
      </c>
      <c r="N34" s="58">
        <v>130</v>
      </c>
      <c r="O34" s="57">
        <v>31.3</v>
      </c>
      <c r="P34" s="57">
        <v>31.3</v>
      </c>
      <c r="Q34" s="57">
        <v>0</v>
      </c>
      <c r="R34" s="57">
        <v>198.13</v>
      </c>
      <c r="S34" s="57">
        <v>185.23</v>
      </c>
      <c r="T34" s="57">
        <v>12.9</v>
      </c>
      <c r="U34" s="57"/>
      <c r="V34" t="e">
        <f>VLOOKUP(B34,附件1担保费明细表!$B$5:$P$49,18,FALSE)</f>
        <v>#REF!</v>
      </c>
      <c r="W34" t="e">
        <f t="shared" si="0"/>
        <v>#REF!</v>
      </c>
    </row>
    <row r="35" spans="1:23">
      <c r="A35" s="57">
        <v>32</v>
      </c>
      <c r="B35" s="57" t="s">
        <v>48</v>
      </c>
      <c r="C35" s="57">
        <v>13577.29</v>
      </c>
      <c r="D35" s="58">
        <v>62</v>
      </c>
      <c r="E35" s="57">
        <v>66.2</v>
      </c>
      <c r="F35" s="57">
        <v>65.71</v>
      </c>
      <c r="G35" s="57">
        <v>0.49</v>
      </c>
      <c r="H35" s="57">
        <v>3899</v>
      </c>
      <c r="I35" s="58">
        <v>4</v>
      </c>
      <c r="J35" s="57">
        <v>19.46</v>
      </c>
      <c r="K35" s="57">
        <v>19.46</v>
      </c>
      <c r="L35" s="57">
        <v>0</v>
      </c>
      <c r="M35" s="57">
        <v>0</v>
      </c>
      <c r="N35" s="58">
        <v>0</v>
      </c>
      <c r="O35" s="57">
        <v>0</v>
      </c>
      <c r="P35" s="57">
        <v>0</v>
      </c>
      <c r="Q35" s="57">
        <v>0</v>
      </c>
      <c r="R35" s="57">
        <v>85.66</v>
      </c>
      <c r="S35" s="57">
        <v>85.17</v>
      </c>
      <c r="T35" s="57">
        <v>0.49</v>
      </c>
      <c r="U35" s="57"/>
      <c r="V35" t="e">
        <f>VLOOKUP(B35,附件1担保费明细表!$B$5:$P$49,18,FALSE)</f>
        <v>#REF!</v>
      </c>
      <c r="W35" t="e">
        <f t="shared" si="0"/>
        <v>#REF!</v>
      </c>
    </row>
    <row r="36" spans="1:23">
      <c r="A36" s="57">
        <v>33</v>
      </c>
      <c r="B36" s="57" t="s">
        <v>21</v>
      </c>
      <c r="C36" s="57">
        <v>30551.8</v>
      </c>
      <c r="D36" s="58">
        <v>119</v>
      </c>
      <c r="E36" s="57">
        <v>150.9</v>
      </c>
      <c r="F36" s="57">
        <v>144.41</v>
      </c>
      <c r="G36" s="57">
        <v>6.49</v>
      </c>
      <c r="H36" s="57">
        <v>830</v>
      </c>
      <c r="I36" s="58">
        <v>1</v>
      </c>
      <c r="J36" s="57">
        <v>3.99</v>
      </c>
      <c r="K36" s="57">
        <v>3.99</v>
      </c>
      <c r="L36" s="57">
        <v>0</v>
      </c>
      <c r="M36" s="57">
        <v>13267.4</v>
      </c>
      <c r="N36" s="58">
        <v>130</v>
      </c>
      <c r="O36" s="57">
        <v>22.2</v>
      </c>
      <c r="P36" s="57">
        <v>21.65</v>
      </c>
      <c r="Q36" s="57">
        <v>0.55</v>
      </c>
      <c r="R36" s="57">
        <v>177.09</v>
      </c>
      <c r="S36" s="57">
        <v>170.05</v>
      </c>
      <c r="T36" s="57">
        <v>7.04</v>
      </c>
      <c r="U36" s="57"/>
      <c r="V36" t="e">
        <f>VLOOKUP(B36,附件1担保费明细表!$B$5:$P$49,18,FALSE)</f>
        <v>#REF!</v>
      </c>
      <c r="W36" t="e">
        <f t="shared" si="0"/>
        <v>#REF!</v>
      </c>
    </row>
    <row r="37" spans="1:23">
      <c r="A37" s="57">
        <v>34</v>
      </c>
      <c r="B37" s="57" t="s">
        <v>56</v>
      </c>
      <c r="C37" s="57">
        <v>11160</v>
      </c>
      <c r="D37" s="58">
        <v>53</v>
      </c>
      <c r="E37" s="57">
        <v>55.8</v>
      </c>
      <c r="F37" s="57">
        <v>55.8</v>
      </c>
      <c r="G37" s="57">
        <v>0</v>
      </c>
      <c r="H37" s="57">
        <v>1780</v>
      </c>
      <c r="I37" s="58">
        <v>2</v>
      </c>
      <c r="J37" s="57">
        <v>8.9</v>
      </c>
      <c r="K37" s="57">
        <v>8.9</v>
      </c>
      <c r="L37" s="57">
        <v>0</v>
      </c>
      <c r="M37" s="57">
        <v>0</v>
      </c>
      <c r="N37" s="58">
        <v>0</v>
      </c>
      <c r="O37" s="57">
        <v>0</v>
      </c>
      <c r="P37" s="57">
        <v>0</v>
      </c>
      <c r="Q37" s="57">
        <v>0</v>
      </c>
      <c r="R37" s="57">
        <v>64.7</v>
      </c>
      <c r="S37" s="57">
        <v>64.7</v>
      </c>
      <c r="T37" s="57">
        <v>0</v>
      </c>
      <c r="U37" s="57"/>
      <c r="V37" t="e">
        <f>VLOOKUP(B37,附件1担保费明细表!$B$5:$P$49,18,FALSE)</f>
        <v>#REF!</v>
      </c>
      <c r="W37" t="e">
        <f t="shared" si="0"/>
        <v>#REF!</v>
      </c>
    </row>
    <row r="38" spans="1:23">
      <c r="A38" s="57">
        <v>35</v>
      </c>
      <c r="B38" s="57" t="s">
        <v>25</v>
      </c>
      <c r="C38" s="57">
        <v>7680.8</v>
      </c>
      <c r="D38" s="58">
        <v>31</v>
      </c>
      <c r="E38" s="57">
        <v>37.91</v>
      </c>
      <c r="F38" s="57">
        <v>33.39</v>
      </c>
      <c r="G38" s="57">
        <v>4.52</v>
      </c>
      <c r="H38" s="57">
        <v>0</v>
      </c>
      <c r="I38" s="58">
        <v>0</v>
      </c>
      <c r="J38" s="57">
        <v>0</v>
      </c>
      <c r="K38" s="57">
        <v>0</v>
      </c>
      <c r="L38" s="57">
        <v>0</v>
      </c>
      <c r="M38" s="57">
        <v>0</v>
      </c>
      <c r="N38" s="58">
        <v>0</v>
      </c>
      <c r="O38" s="57">
        <v>0</v>
      </c>
      <c r="P38" s="57">
        <v>0</v>
      </c>
      <c r="Q38" s="57">
        <v>0</v>
      </c>
      <c r="R38" s="57">
        <v>37.91</v>
      </c>
      <c r="S38" s="57">
        <v>33.39</v>
      </c>
      <c r="T38" s="57">
        <v>4.52</v>
      </c>
      <c r="U38" s="57"/>
      <c r="V38" t="e">
        <f>VLOOKUP(B38,附件1担保费明细表!$B$5:$P$49,18,FALSE)</f>
        <v>#REF!</v>
      </c>
      <c r="W38" t="e">
        <f t="shared" si="0"/>
        <v>#REF!</v>
      </c>
    </row>
    <row r="39" spans="1:23">
      <c r="A39" s="57">
        <v>36</v>
      </c>
      <c r="B39" s="57" t="s">
        <v>24</v>
      </c>
      <c r="C39" s="57">
        <v>17799.4</v>
      </c>
      <c r="D39" s="58">
        <v>70</v>
      </c>
      <c r="E39" s="57">
        <v>86.47</v>
      </c>
      <c r="F39" s="57">
        <v>85.07</v>
      </c>
      <c r="G39" s="57">
        <v>1.4</v>
      </c>
      <c r="H39" s="57">
        <v>11080</v>
      </c>
      <c r="I39" s="58">
        <v>13</v>
      </c>
      <c r="J39" s="57">
        <v>53.14</v>
      </c>
      <c r="K39" s="57">
        <v>41.92</v>
      </c>
      <c r="L39" s="57">
        <v>11.22</v>
      </c>
      <c r="M39" s="57">
        <v>24262.35</v>
      </c>
      <c r="N39" s="58">
        <v>308</v>
      </c>
      <c r="O39" s="57">
        <v>45.77</v>
      </c>
      <c r="P39" s="57">
        <v>43.06</v>
      </c>
      <c r="Q39" s="57">
        <v>2.71</v>
      </c>
      <c r="R39" s="57">
        <v>185.38</v>
      </c>
      <c r="S39" s="57">
        <v>170.05</v>
      </c>
      <c r="T39" s="57">
        <v>15.33</v>
      </c>
      <c r="U39" s="57"/>
      <c r="V39" t="e">
        <f>VLOOKUP(B39,附件1担保费明细表!$B$5:$P$49,18,FALSE)</f>
        <v>#REF!</v>
      </c>
      <c r="W39" t="e">
        <f t="shared" si="0"/>
        <v>#REF!</v>
      </c>
    </row>
    <row r="40" spans="1:23">
      <c r="A40" s="57">
        <v>37</v>
      </c>
      <c r="B40" s="57" t="s">
        <v>57</v>
      </c>
      <c r="C40" s="57">
        <v>4650</v>
      </c>
      <c r="D40" s="58">
        <v>32</v>
      </c>
      <c r="E40" s="57">
        <v>22.98</v>
      </c>
      <c r="F40" s="57">
        <v>22.9</v>
      </c>
      <c r="G40" s="57">
        <v>0.08</v>
      </c>
      <c r="H40" s="57">
        <v>0</v>
      </c>
      <c r="I40" s="58">
        <v>0</v>
      </c>
      <c r="J40" s="57">
        <v>0</v>
      </c>
      <c r="K40" s="57">
        <v>0</v>
      </c>
      <c r="L40" s="57">
        <v>0</v>
      </c>
      <c r="M40" s="57">
        <v>0</v>
      </c>
      <c r="N40" s="58">
        <v>0</v>
      </c>
      <c r="O40" s="57">
        <v>0</v>
      </c>
      <c r="P40" s="57">
        <v>0</v>
      </c>
      <c r="Q40" s="57">
        <v>0</v>
      </c>
      <c r="R40" s="57">
        <v>22.98</v>
      </c>
      <c r="S40" s="57">
        <v>22.9</v>
      </c>
      <c r="T40" s="57">
        <v>0.08</v>
      </c>
      <c r="U40" s="57"/>
      <c r="V40" t="e">
        <f>VLOOKUP(B40,附件1担保费明细表!$B$5:$P$49,18,FALSE)</f>
        <v>#REF!</v>
      </c>
      <c r="W40" t="e">
        <f t="shared" si="0"/>
        <v>#REF!</v>
      </c>
    </row>
    <row r="41" spans="1:23">
      <c r="A41" s="57">
        <v>38</v>
      </c>
      <c r="B41" s="57" t="s">
        <v>23</v>
      </c>
      <c r="C41" s="57">
        <v>75251.4561</v>
      </c>
      <c r="D41" s="58">
        <v>220</v>
      </c>
      <c r="E41" s="57">
        <v>375.66</v>
      </c>
      <c r="F41" s="57">
        <v>366.6</v>
      </c>
      <c r="G41" s="57">
        <v>9.06</v>
      </c>
      <c r="H41" s="57">
        <v>10986</v>
      </c>
      <c r="I41" s="58">
        <v>13</v>
      </c>
      <c r="J41" s="57">
        <v>54.57</v>
      </c>
      <c r="K41" s="57">
        <v>41.15</v>
      </c>
      <c r="L41" s="57">
        <v>13.42</v>
      </c>
      <c r="M41" s="57">
        <v>19907.7</v>
      </c>
      <c r="N41" s="58">
        <v>177</v>
      </c>
      <c r="O41" s="57">
        <v>39.11</v>
      </c>
      <c r="P41" s="57">
        <v>37.86</v>
      </c>
      <c r="Q41" s="57">
        <v>1.25</v>
      </c>
      <c r="R41" s="57">
        <v>469.34</v>
      </c>
      <c r="S41" s="57">
        <v>445.61</v>
      </c>
      <c r="T41" s="57">
        <v>23.73</v>
      </c>
      <c r="U41" s="57"/>
      <c r="V41" t="e">
        <f>VLOOKUP(B41,附件1担保费明细表!$B$5:$P$49,18,FALSE)</f>
        <v>#REF!</v>
      </c>
      <c r="W41" t="e">
        <f t="shared" si="0"/>
        <v>#REF!</v>
      </c>
    </row>
    <row r="42" spans="1:23">
      <c r="A42" s="57">
        <v>39</v>
      </c>
      <c r="B42" s="57" t="s">
        <v>38</v>
      </c>
      <c r="C42" s="57">
        <v>2520</v>
      </c>
      <c r="D42" s="58">
        <v>8</v>
      </c>
      <c r="E42" s="57">
        <v>10</v>
      </c>
      <c r="F42" s="57">
        <v>6.29</v>
      </c>
      <c r="G42" s="57">
        <v>3.71</v>
      </c>
      <c r="H42" s="57">
        <v>2800</v>
      </c>
      <c r="I42" s="58">
        <v>3</v>
      </c>
      <c r="J42" s="57">
        <v>11.56</v>
      </c>
      <c r="K42" s="57">
        <v>7.57</v>
      </c>
      <c r="L42" s="57">
        <v>3.99</v>
      </c>
      <c r="M42" s="57">
        <v>0</v>
      </c>
      <c r="N42" s="58">
        <v>0</v>
      </c>
      <c r="O42" s="57">
        <v>0</v>
      </c>
      <c r="P42" s="57">
        <v>0</v>
      </c>
      <c r="Q42" s="57">
        <v>0</v>
      </c>
      <c r="R42" s="57">
        <v>21.56</v>
      </c>
      <c r="S42" s="57">
        <v>13.86</v>
      </c>
      <c r="T42" s="57">
        <v>7.7</v>
      </c>
      <c r="U42" s="57"/>
      <c r="V42" t="e">
        <f>VLOOKUP(B42,附件1担保费明细表!$B$5:$P$49,18,FALSE)</f>
        <v>#REF!</v>
      </c>
      <c r="W42" t="e">
        <f t="shared" si="0"/>
        <v>#REF!</v>
      </c>
    </row>
    <row r="43" spans="1:23">
      <c r="A43" s="57">
        <v>40</v>
      </c>
      <c r="B43" s="57" t="s">
        <v>18</v>
      </c>
      <c r="C43" s="57">
        <v>32516</v>
      </c>
      <c r="D43" s="58">
        <v>110</v>
      </c>
      <c r="E43" s="57">
        <v>159.41</v>
      </c>
      <c r="F43" s="57">
        <v>116.67</v>
      </c>
      <c r="G43" s="57">
        <v>42.74</v>
      </c>
      <c r="H43" s="57">
        <v>9536</v>
      </c>
      <c r="I43" s="58">
        <v>11</v>
      </c>
      <c r="J43" s="57">
        <v>46.56</v>
      </c>
      <c r="K43" s="57">
        <v>38.75</v>
      </c>
      <c r="L43" s="57">
        <v>7.81</v>
      </c>
      <c r="M43" s="57">
        <v>27108.8</v>
      </c>
      <c r="N43" s="58">
        <v>250</v>
      </c>
      <c r="O43" s="57">
        <v>53.92</v>
      </c>
      <c r="P43" s="57">
        <v>45.47</v>
      </c>
      <c r="Q43" s="57">
        <v>8.45</v>
      </c>
      <c r="R43" s="57">
        <v>259.89</v>
      </c>
      <c r="S43" s="57">
        <v>200.89</v>
      </c>
      <c r="T43" s="57">
        <v>59</v>
      </c>
      <c r="U43" s="57"/>
      <c r="V43" t="e">
        <f>VLOOKUP(B43,附件1担保费明细表!$B$5:$P$49,18,FALSE)</f>
        <v>#REF!</v>
      </c>
      <c r="W43" t="e">
        <f t="shared" si="0"/>
        <v>#REF!</v>
      </c>
    </row>
    <row r="44" spans="1:23">
      <c r="A44" s="57">
        <v>41</v>
      </c>
      <c r="B44" s="57" t="s">
        <v>35</v>
      </c>
      <c r="C44" s="57">
        <v>4308</v>
      </c>
      <c r="D44" s="58">
        <v>25</v>
      </c>
      <c r="E44" s="57">
        <v>21.53</v>
      </c>
      <c r="F44" s="57">
        <v>21.53</v>
      </c>
      <c r="G44" s="57">
        <v>0</v>
      </c>
      <c r="H44" s="57">
        <v>1000</v>
      </c>
      <c r="I44" s="58">
        <v>1</v>
      </c>
      <c r="J44" s="57">
        <v>5</v>
      </c>
      <c r="K44" s="57">
        <v>5</v>
      </c>
      <c r="L44" s="57">
        <v>0</v>
      </c>
      <c r="M44" s="57">
        <v>0</v>
      </c>
      <c r="N44" s="58">
        <v>0</v>
      </c>
      <c r="O44" s="57">
        <v>0</v>
      </c>
      <c r="P44" s="57">
        <v>0</v>
      </c>
      <c r="Q44" s="57">
        <v>0</v>
      </c>
      <c r="R44" s="57">
        <v>26.53</v>
      </c>
      <c r="S44" s="57">
        <v>26.53</v>
      </c>
      <c r="T44" s="57">
        <v>0</v>
      </c>
      <c r="U44" s="57"/>
      <c r="V44" t="e">
        <f>VLOOKUP(B44,附件1担保费明细表!$B$5:$P$49,18,FALSE)</f>
        <v>#REF!</v>
      </c>
      <c r="W44" t="e">
        <f t="shared" si="0"/>
        <v>#REF!</v>
      </c>
    </row>
    <row r="45" spans="1:23">
      <c r="A45" s="57">
        <v>42</v>
      </c>
      <c r="B45" s="57" t="s">
        <v>40</v>
      </c>
      <c r="C45" s="57">
        <v>10241.43</v>
      </c>
      <c r="D45" s="58">
        <v>30</v>
      </c>
      <c r="E45" s="57">
        <v>49.66</v>
      </c>
      <c r="F45" s="57">
        <v>28.95</v>
      </c>
      <c r="G45" s="57">
        <v>20.71</v>
      </c>
      <c r="H45" s="57">
        <v>7600</v>
      </c>
      <c r="I45" s="58">
        <v>9</v>
      </c>
      <c r="J45" s="57">
        <v>37.92</v>
      </c>
      <c r="K45" s="57">
        <v>16.48</v>
      </c>
      <c r="L45" s="57">
        <v>21.44</v>
      </c>
      <c r="M45" s="57">
        <v>0</v>
      </c>
      <c r="N45" s="58">
        <v>0</v>
      </c>
      <c r="O45" s="57">
        <v>0</v>
      </c>
      <c r="P45" s="57">
        <v>0</v>
      </c>
      <c r="Q45" s="57">
        <v>0</v>
      </c>
      <c r="R45" s="57">
        <v>87.58</v>
      </c>
      <c r="S45" s="57">
        <v>45.43</v>
      </c>
      <c r="T45" s="57">
        <v>42.15</v>
      </c>
      <c r="U45" s="57"/>
      <c r="V45" t="e">
        <f>VLOOKUP(B45,附件1担保费明细表!$B$5:$P$49,18,FALSE)</f>
        <v>#REF!</v>
      </c>
      <c r="W45" t="e">
        <f t="shared" si="0"/>
        <v>#REF!</v>
      </c>
    </row>
    <row r="46" spans="1:23">
      <c r="A46" s="57">
        <v>43</v>
      </c>
      <c r="B46" s="57" t="s">
        <v>29</v>
      </c>
      <c r="C46" s="57">
        <v>3590</v>
      </c>
      <c r="D46" s="58">
        <v>14</v>
      </c>
      <c r="E46" s="57">
        <v>17.23</v>
      </c>
      <c r="F46" s="57">
        <v>17.23</v>
      </c>
      <c r="G46" s="57">
        <v>0</v>
      </c>
      <c r="H46" s="57">
        <v>9900</v>
      </c>
      <c r="I46" s="58">
        <v>11</v>
      </c>
      <c r="J46" s="57">
        <v>49.37</v>
      </c>
      <c r="K46" s="57">
        <v>49.37</v>
      </c>
      <c r="L46" s="57">
        <v>0</v>
      </c>
      <c r="M46" s="57">
        <v>0</v>
      </c>
      <c r="N46" s="58">
        <v>0</v>
      </c>
      <c r="O46" s="57">
        <v>0</v>
      </c>
      <c r="P46" s="57">
        <v>0</v>
      </c>
      <c r="Q46" s="57">
        <v>0</v>
      </c>
      <c r="R46" s="57">
        <v>66.6</v>
      </c>
      <c r="S46" s="57">
        <v>66.6</v>
      </c>
      <c r="T46" s="57">
        <v>0</v>
      </c>
      <c r="U46" s="57"/>
      <c r="V46" t="e">
        <f>VLOOKUP(B46,附件1担保费明细表!$B$5:$P$49,18,FALSE)</f>
        <v>#REF!</v>
      </c>
      <c r="W46" t="e">
        <f t="shared" si="0"/>
        <v>#REF!</v>
      </c>
    </row>
    <row r="47" spans="1:23">
      <c r="A47" s="57">
        <v>44</v>
      </c>
      <c r="B47" s="57" t="s">
        <v>42</v>
      </c>
      <c r="C47" s="57">
        <v>200</v>
      </c>
      <c r="D47" s="58">
        <v>1</v>
      </c>
      <c r="E47" s="57">
        <v>0.94</v>
      </c>
      <c r="F47" s="57">
        <v>0.94</v>
      </c>
      <c r="G47" s="57">
        <v>0</v>
      </c>
      <c r="H47" s="57">
        <v>0</v>
      </c>
      <c r="I47" s="58">
        <v>0</v>
      </c>
      <c r="J47" s="57">
        <v>0</v>
      </c>
      <c r="K47" s="57">
        <v>0</v>
      </c>
      <c r="L47" s="57">
        <v>0</v>
      </c>
      <c r="M47" s="57">
        <v>164900.398375</v>
      </c>
      <c r="N47" s="58">
        <v>1492</v>
      </c>
      <c r="O47" s="57">
        <v>324.739999999997</v>
      </c>
      <c r="P47" s="57">
        <v>321.089999999997</v>
      </c>
      <c r="Q47" s="57">
        <v>3.65</v>
      </c>
      <c r="R47" s="57">
        <v>325.679999999997</v>
      </c>
      <c r="S47" s="57">
        <v>322.029999999997</v>
      </c>
      <c r="T47" s="57">
        <v>3.65</v>
      </c>
      <c r="U47" s="57"/>
      <c r="V47" t="e">
        <f>VLOOKUP(B47,附件1担保费明细表!$B$5:$P$49,18,FALSE)</f>
        <v>#REF!</v>
      </c>
      <c r="W47" t="e">
        <f t="shared" si="0"/>
        <v>#REF!</v>
      </c>
    </row>
    <row r="48" spans="1:23">
      <c r="A48" s="57">
        <v>45</v>
      </c>
      <c r="B48" s="57" t="s">
        <v>50</v>
      </c>
      <c r="C48" s="57">
        <v>830</v>
      </c>
      <c r="D48" s="58">
        <v>5</v>
      </c>
      <c r="E48" s="57">
        <v>4.15</v>
      </c>
      <c r="F48" s="57">
        <v>4.15</v>
      </c>
      <c r="G48" s="57">
        <v>0</v>
      </c>
      <c r="H48" s="57">
        <v>5420</v>
      </c>
      <c r="I48" s="58">
        <v>6</v>
      </c>
      <c r="J48" s="57">
        <v>24.42</v>
      </c>
      <c r="K48" s="57">
        <v>24.42</v>
      </c>
      <c r="L48" s="57">
        <v>0</v>
      </c>
      <c r="M48" s="57">
        <v>0</v>
      </c>
      <c r="N48" s="58">
        <v>0</v>
      </c>
      <c r="O48" s="57">
        <v>0</v>
      </c>
      <c r="P48" s="57">
        <v>0</v>
      </c>
      <c r="Q48" s="57">
        <v>0</v>
      </c>
      <c r="R48" s="57">
        <v>28.57</v>
      </c>
      <c r="S48" s="57">
        <v>28.57</v>
      </c>
      <c r="T48" s="57">
        <v>0</v>
      </c>
      <c r="U48" s="57"/>
      <c r="V48" t="e">
        <f>VLOOKUP(B48,附件1担保费明细表!$B$5:$P$49,18,FALSE)</f>
        <v>#REF!</v>
      </c>
      <c r="W48" t="e">
        <f t="shared" si="0"/>
        <v>#REF!</v>
      </c>
    </row>
    <row r="49" spans="1:21">
      <c r="A49" s="57"/>
      <c r="B49" s="172" t="s">
        <v>61</v>
      </c>
      <c r="C49" s="172">
        <f>SUM(C4:C48)</f>
        <v>555532.808648</v>
      </c>
      <c r="D49" s="172">
        <f t="shared" ref="D49:T49" si="1">SUM(D4:D48)</f>
        <v>2713</v>
      </c>
      <c r="E49" s="172">
        <f t="shared" si="1"/>
        <v>2729.31</v>
      </c>
      <c r="F49" s="172">
        <f t="shared" si="1"/>
        <v>2506.64</v>
      </c>
      <c r="G49" s="172">
        <f t="shared" si="1"/>
        <v>222.67</v>
      </c>
      <c r="H49" s="172">
        <f t="shared" si="1"/>
        <v>149448.158048</v>
      </c>
      <c r="I49" s="172">
        <f t="shared" si="1"/>
        <v>171</v>
      </c>
      <c r="J49" s="172">
        <f t="shared" si="1"/>
        <v>711.62</v>
      </c>
      <c r="K49" s="172">
        <f t="shared" si="1"/>
        <v>595.28</v>
      </c>
      <c r="L49" s="172">
        <f t="shared" si="1"/>
        <v>116.34</v>
      </c>
      <c r="M49" s="172">
        <f t="shared" si="1"/>
        <v>647729.558375</v>
      </c>
      <c r="N49" s="172">
        <f t="shared" si="1"/>
        <v>6522</v>
      </c>
      <c r="O49" s="172">
        <f t="shared" si="1"/>
        <v>1202.94999999999</v>
      </c>
      <c r="P49" s="172">
        <f t="shared" si="1"/>
        <v>1079.29999999999</v>
      </c>
      <c r="Q49" s="172">
        <f t="shared" si="1"/>
        <v>123.65</v>
      </c>
      <c r="R49" s="172">
        <f t="shared" si="1"/>
        <v>4643.87999999999</v>
      </c>
      <c r="S49" s="172">
        <f t="shared" si="1"/>
        <v>4181.21999999999</v>
      </c>
      <c r="T49" s="172">
        <f t="shared" si="1"/>
        <v>462.66</v>
      </c>
      <c r="U49" s="57"/>
    </row>
    <row r="50" spans="1:23">
      <c r="A50" s="57"/>
      <c r="B50" s="57"/>
      <c r="C50" s="57"/>
      <c r="D50" s="58"/>
      <c r="E50" s="57"/>
      <c r="F50" s="57"/>
      <c r="G50" s="57"/>
      <c r="H50" s="57"/>
      <c r="I50" s="58"/>
      <c r="J50" s="57"/>
      <c r="K50" s="57"/>
      <c r="L50" s="57"/>
      <c r="M50" s="57"/>
      <c r="N50" s="58"/>
      <c r="O50" s="57"/>
      <c r="P50" s="57"/>
      <c r="Q50" s="57"/>
      <c r="R50" s="57"/>
      <c r="S50" s="57"/>
      <c r="T50" s="57"/>
      <c r="U50" s="57"/>
      <c r="W50">
        <f t="shared" si="0"/>
        <v>0</v>
      </c>
    </row>
    <row r="51" spans="1:21">
      <c r="A51" s="57"/>
      <c r="B51" s="57"/>
      <c r="C51" s="57"/>
      <c r="D51" s="58"/>
      <c r="E51" s="57"/>
      <c r="F51" s="57"/>
      <c r="G51" s="57"/>
      <c r="H51" s="57"/>
      <c r="I51" s="58"/>
      <c r="J51" s="57"/>
      <c r="K51" s="57"/>
      <c r="L51" s="57"/>
      <c r="M51" s="57"/>
      <c r="N51" s="58"/>
      <c r="O51" s="57"/>
      <c r="P51" s="57"/>
      <c r="Q51" s="57"/>
      <c r="R51" s="57"/>
      <c r="S51" s="57"/>
      <c r="T51" s="57"/>
      <c r="U51" s="57"/>
    </row>
    <row r="52" spans="1:21">
      <c r="A52" s="57"/>
      <c r="B52" s="57"/>
      <c r="C52" s="57"/>
      <c r="D52" s="58"/>
      <c r="E52" s="57"/>
      <c r="F52" s="57"/>
      <c r="G52" s="57"/>
      <c r="H52" s="57"/>
      <c r="I52" s="58"/>
      <c r="J52" s="57"/>
      <c r="K52" s="57"/>
      <c r="L52" s="57"/>
      <c r="M52" s="57"/>
      <c r="N52" s="58"/>
      <c r="O52" s="57"/>
      <c r="P52" s="57"/>
      <c r="Q52" s="57"/>
      <c r="R52" s="57"/>
      <c r="S52" s="57"/>
      <c r="T52" s="57"/>
      <c r="U52" s="57"/>
    </row>
    <row r="53" spans="1:21">
      <c r="A53" s="57"/>
      <c r="B53" s="57"/>
      <c r="C53" s="57"/>
      <c r="D53" s="58"/>
      <c r="E53" s="57"/>
      <c r="F53" s="57"/>
      <c r="G53" s="57"/>
      <c r="H53" s="57"/>
      <c r="I53" s="58"/>
      <c r="J53" s="57"/>
      <c r="K53" s="57"/>
      <c r="L53" s="57"/>
      <c r="M53" s="57"/>
      <c r="N53" s="58"/>
      <c r="O53" s="57"/>
      <c r="P53" s="57"/>
      <c r="Q53" s="57"/>
      <c r="R53" s="57"/>
      <c r="S53" s="57"/>
      <c r="T53" s="57"/>
      <c r="U53" s="57"/>
    </row>
    <row r="54" spans="1:21">
      <c r="A54" s="57"/>
      <c r="B54" s="57"/>
      <c r="C54" s="57"/>
      <c r="D54" s="58"/>
      <c r="E54" s="57"/>
      <c r="F54" s="57"/>
      <c r="G54" s="57"/>
      <c r="H54" s="57"/>
      <c r="I54" s="58"/>
      <c r="J54" s="57"/>
      <c r="K54" s="57"/>
      <c r="L54" s="57"/>
      <c r="M54" s="57"/>
      <c r="N54" s="58"/>
      <c r="O54" s="57"/>
      <c r="P54" s="57"/>
      <c r="Q54" s="57"/>
      <c r="R54" s="57"/>
      <c r="S54" s="57"/>
      <c r="T54" s="57"/>
      <c r="U54" s="57"/>
    </row>
    <row r="55" spans="1:21">
      <c r="A55" s="57"/>
      <c r="B55" s="57"/>
      <c r="C55" s="57"/>
      <c r="D55" s="58"/>
      <c r="E55" s="57"/>
      <c r="F55" s="57"/>
      <c r="G55" s="57"/>
      <c r="H55" s="57"/>
      <c r="I55" s="58"/>
      <c r="J55" s="57"/>
      <c r="K55" s="57"/>
      <c r="L55" s="57"/>
      <c r="M55" s="57"/>
      <c r="N55" s="58"/>
      <c r="O55" s="57"/>
      <c r="P55" s="57"/>
      <c r="Q55" s="57"/>
      <c r="R55" s="57"/>
      <c r="S55" s="57"/>
      <c r="T55" s="57"/>
      <c r="U55" s="57"/>
    </row>
    <row r="59" spans="5:21">
      <c r="E59" s="6"/>
      <c r="F59" s="6"/>
      <c r="G59" s="8"/>
      <c r="H59" s="9"/>
      <c r="I59" s="8"/>
      <c r="M59" s="176" t="s">
        <v>69</v>
      </c>
      <c r="N59" s="169" t="s">
        <v>67</v>
      </c>
      <c r="O59" t="s">
        <v>70</v>
      </c>
      <c r="P59" t="s">
        <v>71</v>
      </c>
      <c r="Q59" s="181" t="s">
        <v>72</v>
      </c>
      <c r="R59" s="181" t="s">
        <v>73</v>
      </c>
      <c r="S59" s="182" t="s">
        <v>74</v>
      </c>
      <c r="T59" s="182" t="s">
        <v>75</v>
      </c>
      <c r="U59" s="182" t="s">
        <v>76</v>
      </c>
    </row>
    <row r="60" spans="4:23">
      <c r="D60" s="6"/>
      <c r="E60" s="173"/>
      <c r="F60" s="173"/>
      <c r="G60" s="173"/>
      <c r="H60" s="173"/>
      <c r="I60" s="177"/>
      <c r="M60">
        <v>500</v>
      </c>
      <c r="N60" s="169">
        <v>2713</v>
      </c>
      <c r="O60">
        <v>555532.808648</v>
      </c>
      <c r="P60">
        <v>2729.31</v>
      </c>
      <c r="Q60">
        <v>200.6</v>
      </c>
      <c r="R60">
        <v>2528.71</v>
      </c>
      <c r="S60">
        <v>22.07</v>
      </c>
      <c r="T60" s="182">
        <v>2506.64</v>
      </c>
      <c r="U60" s="182">
        <f>+Q60+S60</f>
        <v>222.67</v>
      </c>
      <c r="W60">
        <f>+P60-U60</f>
        <v>2506.64</v>
      </c>
    </row>
    <row r="61" spans="4:23">
      <c r="D61" s="6"/>
      <c r="E61" s="173"/>
      <c r="F61" s="173"/>
      <c r="G61" s="173"/>
      <c r="H61" s="173"/>
      <c r="I61" s="177"/>
      <c r="M61" t="s">
        <v>77</v>
      </c>
      <c r="N61" s="169">
        <v>171</v>
      </c>
      <c r="O61">
        <v>149448.158048</v>
      </c>
      <c r="P61">
        <v>711.62</v>
      </c>
      <c r="Q61">
        <v>112.34</v>
      </c>
      <c r="R61">
        <v>599.28</v>
      </c>
      <c r="S61">
        <v>4</v>
      </c>
      <c r="T61" s="182">
        <v>595.28</v>
      </c>
      <c r="U61" s="182">
        <f>+Q61+S61</f>
        <v>116.34</v>
      </c>
      <c r="W61">
        <f>+P61-U61</f>
        <v>595.28</v>
      </c>
    </row>
    <row r="62" spans="4:23">
      <c r="D62" s="174"/>
      <c r="E62" s="175"/>
      <c r="F62" s="175"/>
      <c r="G62" s="175"/>
      <c r="H62" s="175"/>
      <c r="I62" s="178"/>
      <c r="M62" t="s">
        <v>78</v>
      </c>
      <c r="N62" s="169">
        <v>2884</v>
      </c>
      <c r="O62">
        <v>704980.966696</v>
      </c>
      <c r="P62">
        <v>3440.93</v>
      </c>
      <c r="Q62">
        <v>312.94</v>
      </c>
      <c r="R62">
        <v>3127.99</v>
      </c>
      <c r="S62">
        <v>26.07</v>
      </c>
      <c r="T62" s="182">
        <v>3101.92</v>
      </c>
      <c r="U62" s="182">
        <f>+Q62+S62</f>
        <v>339.01</v>
      </c>
      <c r="W62">
        <f>+W60+W61</f>
        <v>3101.92</v>
      </c>
    </row>
    <row r="63" spans="4:23">
      <c r="D63" s="174"/>
      <c r="E63" s="175"/>
      <c r="F63" s="175"/>
      <c r="G63" s="175"/>
      <c r="H63" s="175"/>
      <c r="I63" s="177"/>
      <c r="M63" t="s">
        <v>79</v>
      </c>
      <c r="N63" s="169">
        <v>6522</v>
      </c>
      <c r="O63">
        <v>647729.558375</v>
      </c>
      <c r="P63">
        <v>1202.94999999999</v>
      </c>
      <c r="Q63">
        <v>121.94</v>
      </c>
      <c r="R63">
        <v>1081.00999999999</v>
      </c>
      <c r="S63">
        <v>1.71</v>
      </c>
      <c r="T63" s="182">
        <v>1079.29999999999</v>
      </c>
      <c r="U63" s="182">
        <f>+Q63+S63</f>
        <v>123.65</v>
      </c>
      <c r="W63">
        <f>+P63-U63</f>
        <v>1079.29999999999</v>
      </c>
    </row>
    <row r="64" spans="4:23">
      <c r="D64" s="174"/>
      <c r="E64" s="175"/>
      <c r="F64" s="175"/>
      <c r="G64" s="175"/>
      <c r="H64" s="175"/>
      <c r="I64" s="178"/>
      <c r="M64" s="179" t="s">
        <v>61</v>
      </c>
      <c r="N64" s="180">
        <v>9406</v>
      </c>
      <c r="O64" s="179">
        <v>1352710.525071</v>
      </c>
      <c r="P64" s="179">
        <v>4643.87999999999</v>
      </c>
      <c r="Q64" s="179">
        <v>434.88</v>
      </c>
      <c r="R64" s="179">
        <v>4208.99999999999</v>
      </c>
      <c r="S64" s="179">
        <v>27.78</v>
      </c>
      <c r="T64" s="182">
        <v>4181.21999999999</v>
      </c>
      <c r="U64" s="182">
        <f>+Q64+S64</f>
        <v>462.66</v>
      </c>
      <c r="W64">
        <f>+W62+W63</f>
        <v>4181.21999999999</v>
      </c>
    </row>
    <row r="67" spans="4:9">
      <c r="D67" s="183" t="s">
        <v>80</v>
      </c>
      <c r="E67" s="6" t="s">
        <v>67</v>
      </c>
      <c r="F67" s="6" t="s">
        <v>70</v>
      </c>
      <c r="G67" s="8" t="s">
        <v>71</v>
      </c>
      <c r="H67" s="9" t="s">
        <v>72</v>
      </c>
      <c r="I67" s="8" t="s">
        <v>73</v>
      </c>
    </row>
    <row r="68" spans="4:18">
      <c r="D68" s="6">
        <v>500</v>
      </c>
      <c r="E68" s="173">
        <f>+锦鑫!K46+天勤!H50+中审华!H44</f>
        <v>2713</v>
      </c>
      <c r="F68" s="173">
        <f>+锦鑫!L46+天勤!I50+中审华!I44</f>
        <v>555532.808648</v>
      </c>
      <c r="G68" s="173">
        <f>+锦鑫!M46+天勤!J50+中审华!J44</f>
        <v>2729.31</v>
      </c>
      <c r="H68" s="173">
        <f>+锦鑫!N46+天勤!K50+中审华!K44</f>
        <v>200.6</v>
      </c>
      <c r="I68" s="184">
        <f>+锦鑫!O46+天勤!L50+中审华!L44</f>
        <v>2528.71</v>
      </c>
      <c r="M68" t="s">
        <v>81</v>
      </c>
      <c r="N68" s="56" t="s">
        <v>72</v>
      </c>
      <c r="O68" s="56" t="s">
        <v>82</v>
      </c>
      <c r="P68" s="56"/>
      <c r="Q68" s="56" t="s">
        <v>79</v>
      </c>
      <c r="R68" s="56" t="s">
        <v>61</v>
      </c>
    </row>
    <row r="69" spans="4:18">
      <c r="D69" s="6" t="s">
        <v>77</v>
      </c>
      <c r="E69" s="173">
        <f>+锦鑫!K47+天勤!H51+中审华!H45</f>
        <v>171</v>
      </c>
      <c r="F69" s="173">
        <f>+锦鑫!L47+天勤!I51+中审华!I45</f>
        <v>149448.158048</v>
      </c>
      <c r="G69" s="173">
        <f>+锦鑫!M47+天勤!J51+中审华!J45</f>
        <v>711.62</v>
      </c>
      <c r="H69" s="173">
        <f>+锦鑫!N47+天勤!K51+中审华!K45</f>
        <v>112.34</v>
      </c>
      <c r="I69" s="184">
        <f>+锦鑫!O47+天勤!L51+中审华!L45</f>
        <v>599.28</v>
      </c>
      <c r="N69" s="56"/>
      <c r="O69" s="57">
        <v>500</v>
      </c>
      <c r="P69" s="57" t="s">
        <v>83</v>
      </c>
      <c r="Q69" s="56"/>
      <c r="R69" s="56"/>
    </row>
    <row r="70" spans="4:18">
      <c r="D70" s="6" t="s">
        <v>78</v>
      </c>
      <c r="E70" s="173">
        <f>+E68+E69</f>
        <v>2884</v>
      </c>
      <c r="F70" s="173">
        <f>+F68+F69</f>
        <v>704980.966696</v>
      </c>
      <c r="G70" s="173">
        <f>+G68+G69</f>
        <v>3440.93</v>
      </c>
      <c r="H70" s="173">
        <f>+H68+H69</f>
        <v>312.94</v>
      </c>
      <c r="I70" s="173">
        <f>+I68+I69</f>
        <v>3127.99</v>
      </c>
      <c r="N70" s="58" t="s">
        <v>84</v>
      </c>
      <c r="O70" s="57">
        <v>7.78</v>
      </c>
      <c r="P70" s="57">
        <v>4</v>
      </c>
      <c r="Q70" s="57">
        <v>1.17</v>
      </c>
      <c r="R70" s="57">
        <v>12.95</v>
      </c>
    </row>
    <row r="71" spans="4:18">
      <c r="D71" s="6"/>
      <c r="E71" s="173"/>
      <c r="F71" s="173"/>
      <c r="G71" s="173"/>
      <c r="H71" s="173"/>
      <c r="I71" s="184"/>
      <c r="N71" s="58" t="s">
        <v>85</v>
      </c>
      <c r="O71" s="57"/>
      <c r="P71" s="57"/>
      <c r="Q71" s="57">
        <v>0.14</v>
      </c>
      <c r="R71" s="57">
        <v>0.14</v>
      </c>
    </row>
    <row r="72" spans="4:18">
      <c r="D72" s="6" t="s">
        <v>79</v>
      </c>
      <c r="E72" s="173">
        <f>+锦鑫!K50+天勤!H54+中审华!H47</f>
        <v>6522</v>
      </c>
      <c r="F72" s="173">
        <f>+锦鑫!L50+天勤!I54+中审华!I47</f>
        <v>647729.558375</v>
      </c>
      <c r="G72" s="173">
        <f>+锦鑫!M50+天勤!J54+中审华!J47</f>
        <v>1202.94999999999</v>
      </c>
      <c r="H72" s="173">
        <f>+锦鑫!N50+天勤!K54+中审华!K47</f>
        <v>121.94</v>
      </c>
      <c r="I72" s="173">
        <f>+锦鑫!O50+天勤!L54+中审华!L47</f>
        <v>1081.00999999999</v>
      </c>
      <c r="N72" s="58" t="s">
        <v>86</v>
      </c>
      <c r="O72" s="57">
        <v>14.29</v>
      </c>
      <c r="P72" s="57"/>
      <c r="Q72" s="57">
        <v>0.4</v>
      </c>
      <c r="R72" s="57">
        <v>14.69</v>
      </c>
    </row>
    <row r="73" spans="4:18">
      <c r="D73" s="6"/>
      <c r="E73" s="173"/>
      <c r="F73" s="173"/>
      <c r="G73" s="173"/>
      <c r="H73" s="173"/>
      <c r="I73" s="184"/>
      <c r="O73">
        <v>22.07</v>
      </c>
      <c r="P73">
        <v>4</v>
      </c>
      <c r="Q73">
        <v>1.71</v>
      </c>
      <c r="R73">
        <v>27.78</v>
      </c>
    </row>
    <row r="74" spans="4:9">
      <c r="D74" s="6" t="s">
        <v>61</v>
      </c>
      <c r="E74" s="173">
        <f>+E70+E72</f>
        <v>9406</v>
      </c>
      <c r="F74" s="173">
        <f>+F70+F72</f>
        <v>1352710.525071</v>
      </c>
      <c r="G74" s="173">
        <f>+G70+G72</f>
        <v>4643.87999999999</v>
      </c>
      <c r="H74" s="173">
        <f>+H70+H72</f>
        <v>434.88</v>
      </c>
      <c r="I74" s="173">
        <f>+I70+I72</f>
        <v>4208.99999999999</v>
      </c>
    </row>
    <row r="75" spans="9:9">
      <c r="I75"/>
    </row>
  </sheetData>
  <autoFilter xmlns:etc="http://www.wps.cn/officeDocument/2017/etCustomData" ref="A3:V49" etc:filterBottomFollowUsedRange="0">
    <extLst/>
  </autoFilter>
  <mergeCells count="12">
    <mergeCell ref="C2:L2"/>
    <mergeCell ref="M2:Q2"/>
    <mergeCell ref="O68:P68"/>
    <mergeCell ref="A2:A3"/>
    <mergeCell ref="B2:B3"/>
    <mergeCell ref="N68:N69"/>
    <mergeCell ref="Q68:Q69"/>
    <mergeCell ref="R2:R3"/>
    <mergeCell ref="R68:R69"/>
    <mergeCell ref="S2:S3"/>
    <mergeCell ref="T2:T3"/>
    <mergeCell ref="U2:U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X60"/>
  <sheetViews>
    <sheetView topLeftCell="A5" workbookViewId="0">
      <pane xSplit="2" ySplit="20" topLeftCell="C25" activePane="bottomRight" state="frozen"/>
      <selection/>
      <selection pane="topRight"/>
      <selection pane="bottomLeft"/>
      <selection pane="bottomRight" activeCell="L52" sqref="L52"/>
    </sheetView>
  </sheetViews>
  <sheetFormatPr defaultColWidth="8.88333333333333" defaultRowHeight="13.5"/>
  <cols>
    <col min="1" max="1" width="5.29166666666667" style="1" customWidth="1"/>
    <col min="2" max="2" width="24.25" style="5" customWidth="1"/>
    <col min="3" max="3" width="12" style="6" customWidth="1"/>
    <col min="4" max="4" width="6.7" style="7" customWidth="1"/>
    <col min="5" max="5" width="11.6416666666667" style="6" customWidth="1"/>
    <col min="6" max="6" width="9.29166666666667" style="6" customWidth="1"/>
    <col min="7" max="7" width="11.2916666666667" style="6" customWidth="1"/>
    <col min="8" max="8" width="13" style="6" customWidth="1"/>
    <col min="9" max="9" width="5.88333333333333" style="7" customWidth="1"/>
    <col min="10" max="10" width="9.88333333333333" style="6" customWidth="1"/>
    <col min="11" max="11" width="9.7" style="6" customWidth="1"/>
    <col min="12" max="12" width="13.5833333333333" style="6" customWidth="1"/>
    <col min="13" max="13" width="11.475" style="8" customWidth="1"/>
    <col min="14" max="14" width="9.875" style="9" customWidth="1"/>
    <col min="15" max="15" width="11.3583333333333" style="8" customWidth="1"/>
    <col min="16" max="16" width="9.29166666666667" style="138" customWidth="1"/>
    <col min="17" max="17" width="10.2916666666667" style="8" customWidth="1"/>
    <col min="18" max="18" width="11.0583333333333" style="11" customWidth="1"/>
    <col min="19" max="19" width="11" style="11" customWidth="1"/>
    <col min="20" max="20" width="10.475" style="11" customWidth="1"/>
    <col min="21" max="21" width="10.1083333333333" style="1" customWidth="1"/>
    <col min="22" max="16384" width="8.88333333333333" style="1"/>
  </cols>
  <sheetData>
    <row r="1" s="1" customFormat="1" ht="33.75" spans="1:21">
      <c r="A1" s="13" t="s">
        <v>87</v>
      </c>
      <c r="B1" s="13"/>
      <c r="C1" s="14"/>
      <c r="D1" s="139"/>
      <c r="E1" s="14"/>
      <c r="F1" s="14"/>
      <c r="G1" s="14"/>
      <c r="H1" s="14"/>
      <c r="I1" s="139"/>
      <c r="J1" s="14"/>
      <c r="K1" s="14"/>
      <c r="L1" s="14"/>
      <c r="M1" s="14"/>
      <c r="N1" s="139"/>
      <c r="O1" s="14"/>
      <c r="P1" s="14"/>
      <c r="Q1" s="14"/>
      <c r="R1" s="14"/>
      <c r="S1" s="14"/>
      <c r="T1" s="14"/>
      <c r="U1" s="13"/>
    </row>
    <row r="2" s="2" customFormat="1" ht="39.75" customHeight="1" spans="1:21">
      <c r="A2" s="15" t="s">
        <v>2</v>
      </c>
      <c r="B2" s="16" t="s">
        <v>63</v>
      </c>
      <c r="C2" s="17" t="s">
        <v>4</v>
      </c>
      <c r="D2" s="140"/>
      <c r="E2" s="19"/>
      <c r="F2" s="19"/>
      <c r="G2" s="19"/>
      <c r="H2" s="19"/>
      <c r="I2" s="140"/>
      <c r="J2" s="19"/>
      <c r="K2" s="19"/>
      <c r="L2" s="19"/>
      <c r="M2" s="17" t="s">
        <v>5</v>
      </c>
      <c r="N2" s="140"/>
      <c r="O2" s="19"/>
      <c r="P2" s="19"/>
      <c r="Q2" s="19"/>
      <c r="R2" s="17" t="s">
        <v>64</v>
      </c>
      <c r="S2" s="17" t="s">
        <v>65</v>
      </c>
      <c r="T2" s="17" t="s">
        <v>8</v>
      </c>
      <c r="U2" s="20" t="s">
        <v>9</v>
      </c>
    </row>
    <row r="3" s="2" customFormat="1" ht="63.75" hidden="1" customHeight="1" spans="1:21">
      <c r="A3" s="16"/>
      <c r="B3" s="16"/>
      <c r="C3" s="19" t="s">
        <v>66</v>
      </c>
      <c r="D3" s="141" t="s">
        <v>67</v>
      </c>
      <c r="E3" s="17" t="s">
        <v>11</v>
      </c>
      <c r="F3" s="17" t="s">
        <v>12</v>
      </c>
      <c r="G3" s="17" t="s">
        <v>13</v>
      </c>
      <c r="H3" s="19" t="s">
        <v>68</v>
      </c>
      <c r="I3" s="141" t="s">
        <v>67</v>
      </c>
      <c r="J3" s="17" t="s">
        <v>11</v>
      </c>
      <c r="K3" s="17" t="s">
        <v>12</v>
      </c>
      <c r="L3" s="17" t="s">
        <v>13</v>
      </c>
      <c r="M3" s="17" t="s">
        <v>15</v>
      </c>
      <c r="N3" s="141" t="s">
        <v>67</v>
      </c>
      <c r="O3" s="17" t="s">
        <v>11</v>
      </c>
      <c r="P3" s="17" t="s">
        <v>12</v>
      </c>
      <c r="Q3" s="17" t="s">
        <v>13</v>
      </c>
      <c r="R3" s="19"/>
      <c r="S3" s="19"/>
      <c r="T3" s="19"/>
      <c r="U3" s="18"/>
    </row>
    <row r="4" s="1" customFormat="1" ht="16" hidden="1" customHeight="1" spans="1:21">
      <c r="A4" s="18">
        <v>1</v>
      </c>
      <c r="B4" s="142" t="s">
        <v>31</v>
      </c>
      <c r="C4" s="75">
        <v>3705</v>
      </c>
      <c r="D4" s="143">
        <v>14</v>
      </c>
      <c r="E4" s="75">
        <v>18.51</v>
      </c>
      <c r="F4" s="75">
        <f t="shared" ref="F4:F17" si="0">E4-G4</f>
        <v>14.53</v>
      </c>
      <c r="G4" s="75">
        <v>3.98</v>
      </c>
      <c r="H4" s="75">
        <v>900</v>
      </c>
      <c r="I4" s="143">
        <v>1</v>
      </c>
      <c r="J4" s="75">
        <v>4.5</v>
      </c>
      <c r="K4" s="75">
        <f t="shared" ref="K4:K15" si="1">J4-L4</f>
        <v>4.5</v>
      </c>
      <c r="L4" s="75"/>
      <c r="M4" s="75"/>
      <c r="N4" s="143"/>
      <c r="O4" s="75"/>
      <c r="P4" s="76">
        <f t="shared" ref="P4:P8" si="2">O4-Q4</f>
        <v>0</v>
      </c>
      <c r="Q4" s="76"/>
      <c r="R4" s="76">
        <f t="shared" ref="R4:T4" si="3">O4+J4+E4</f>
        <v>23.01</v>
      </c>
      <c r="S4" s="76">
        <f t="shared" si="3"/>
        <v>19.03</v>
      </c>
      <c r="T4" s="76">
        <f t="shared" si="3"/>
        <v>3.98</v>
      </c>
      <c r="U4" s="75"/>
    </row>
    <row r="5" s="1" customFormat="1" ht="16" hidden="1" customHeight="1" spans="1:21">
      <c r="A5" s="18">
        <v>2</v>
      </c>
      <c r="B5" s="142" t="s">
        <v>17</v>
      </c>
      <c r="C5" s="75">
        <v>35529.302217</v>
      </c>
      <c r="D5" s="143">
        <v>170</v>
      </c>
      <c r="E5" s="75">
        <v>171.15</v>
      </c>
      <c r="F5" s="75">
        <f t="shared" si="0"/>
        <v>158.28</v>
      </c>
      <c r="G5" s="75">
        <f>12.85+0.02</f>
        <v>12.87</v>
      </c>
      <c r="H5" s="75">
        <v>14250</v>
      </c>
      <c r="I5" s="143">
        <v>17</v>
      </c>
      <c r="J5" s="75">
        <v>70.16</v>
      </c>
      <c r="K5" s="75">
        <f t="shared" si="1"/>
        <v>42.18</v>
      </c>
      <c r="L5" s="75">
        <f>18.7+4.99+4.29</f>
        <v>27.98</v>
      </c>
      <c r="M5" s="75">
        <v>20488.2</v>
      </c>
      <c r="N5" s="143">
        <v>199</v>
      </c>
      <c r="O5" s="75">
        <v>35.04</v>
      </c>
      <c r="P5" s="75">
        <f t="shared" si="2"/>
        <v>35.04</v>
      </c>
      <c r="Q5" s="76"/>
      <c r="R5" s="76">
        <f t="shared" ref="R5:T5" si="4">O5+J5+E5</f>
        <v>276.35</v>
      </c>
      <c r="S5" s="76">
        <f t="shared" si="4"/>
        <v>235.5</v>
      </c>
      <c r="T5" s="76">
        <f t="shared" si="4"/>
        <v>40.85</v>
      </c>
      <c r="U5" s="75"/>
    </row>
    <row r="6" s="1" customFormat="1" ht="16" hidden="1" customHeight="1" spans="1:21">
      <c r="A6" s="18">
        <v>3</v>
      </c>
      <c r="B6" s="142" t="s">
        <v>49</v>
      </c>
      <c r="C6" s="75">
        <v>10038</v>
      </c>
      <c r="D6" s="143">
        <v>69</v>
      </c>
      <c r="E6" s="75">
        <v>50.02</v>
      </c>
      <c r="F6" s="75">
        <f t="shared" si="0"/>
        <v>45.97</v>
      </c>
      <c r="G6" s="75">
        <v>4.05</v>
      </c>
      <c r="H6" s="75">
        <v>1700</v>
      </c>
      <c r="I6" s="143">
        <v>2</v>
      </c>
      <c r="J6" s="75">
        <v>8.49</v>
      </c>
      <c r="K6" s="75">
        <f t="shared" si="1"/>
        <v>8.49</v>
      </c>
      <c r="L6" s="75"/>
      <c r="M6" s="75"/>
      <c r="N6" s="143"/>
      <c r="O6" s="75"/>
      <c r="P6" s="75"/>
      <c r="Q6" s="75"/>
      <c r="R6" s="76">
        <f t="shared" ref="R6:T6" si="5">O6+J6+E6</f>
        <v>58.51</v>
      </c>
      <c r="S6" s="76">
        <f t="shared" si="5"/>
        <v>54.46</v>
      </c>
      <c r="T6" s="76">
        <f t="shared" si="5"/>
        <v>4.05</v>
      </c>
      <c r="U6" s="75"/>
    </row>
    <row r="7" s="1" customFormat="1" ht="16" hidden="1" customHeight="1" spans="1:21">
      <c r="A7" s="18">
        <v>4</v>
      </c>
      <c r="B7" s="142" t="s">
        <v>30</v>
      </c>
      <c r="C7" s="75">
        <v>6020</v>
      </c>
      <c r="D7" s="143">
        <v>19</v>
      </c>
      <c r="E7" s="75">
        <v>29.87</v>
      </c>
      <c r="F7" s="75">
        <f t="shared" si="0"/>
        <v>27.38</v>
      </c>
      <c r="G7" s="75">
        <v>2.49</v>
      </c>
      <c r="H7" s="75">
        <v>3200</v>
      </c>
      <c r="I7" s="143">
        <v>4</v>
      </c>
      <c r="J7" s="75">
        <v>15.95</v>
      </c>
      <c r="K7" s="75">
        <f t="shared" si="1"/>
        <v>15.95</v>
      </c>
      <c r="L7" s="75"/>
      <c r="M7" s="75"/>
      <c r="N7" s="143"/>
      <c r="O7" s="75"/>
      <c r="P7" s="75">
        <f t="shared" si="2"/>
        <v>0</v>
      </c>
      <c r="Q7" s="75"/>
      <c r="R7" s="76">
        <f t="shared" ref="R7:T7" si="6">O7+J7+E7</f>
        <v>45.82</v>
      </c>
      <c r="S7" s="76">
        <f t="shared" si="6"/>
        <v>43.33</v>
      </c>
      <c r="T7" s="76">
        <f t="shared" si="6"/>
        <v>2.49</v>
      </c>
      <c r="U7" s="75"/>
    </row>
    <row r="8" s="1" customFormat="1" ht="16" hidden="1" customHeight="1" spans="1:21">
      <c r="A8" s="18">
        <v>5</v>
      </c>
      <c r="B8" s="142" t="s">
        <v>32</v>
      </c>
      <c r="C8" s="75">
        <v>6266</v>
      </c>
      <c r="D8" s="143">
        <v>22</v>
      </c>
      <c r="E8" s="75">
        <v>31.2</v>
      </c>
      <c r="F8" s="75">
        <f t="shared" si="0"/>
        <v>31.2</v>
      </c>
      <c r="G8" s="75"/>
      <c r="H8" s="75">
        <v>1000</v>
      </c>
      <c r="I8" s="143">
        <v>1</v>
      </c>
      <c r="J8" s="75">
        <v>4.99</v>
      </c>
      <c r="K8" s="75">
        <f t="shared" si="1"/>
        <v>4.99</v>
      </c>
      <c r="L8" s="75"/>
      <c r="M8" s="75"/>
      <c r="N8" s="143"/>
      <c r="O8" s="75"/>
      <c r="P8" s="75">
        <f t="shared" si="2"/>
        <v>0</v>
      </c>
      <c r="Q8" s="75"/>
      <c r="R8" s="76">
        <f t="shared" ref="R8:T8" si="7">O8+J8+E8</f>
        <v>36.19</v>
      </c>
      <c r="S8" s="76">
        <f t="shared" si="7"/>
        <v>36.19</v>
      </c>
      <c r="T8" s="76">
        <f t="shared" si="7"/>
        <v>0</v>
      </c>
      <c r="U8" s="75"/>
    </row>
    <row r="9" s="1" customFormat="1" ht="16" hidden="1" customHeight="1" spans="1:21">
      <c r="A9" s="18">
        <v>6</v>
      </c>
      <c r="B9" s="142" t="s">
        <v>88</v>
      </c>
      <c r="C9" s="75">
        <v>2505</v>
      </c>
      <c r="D9" s="143">
        <v>12</v>
      </c>
      <c r="E9" s="75">
        <v>11.78</v>
      </c>
      <c r="F9" s="75">
        <f t="shared" si="0"/>
        <v>9.48</v>
      </c>
      <c r="G9" s="75">
        <v>2.3</v>
      </c>
      <c r="H9" s="75">
        <v>3900</v>
      </c>
      <c r="I9" s="143">
        <v>4</v>
      </c>
      <c r="J9" s="75">
        <v>19.46</v>
      </c>
      <c r="K9" s="75">
        <f t="shared" si="1"/>
        <v>19.46</v>
      </c>
      <c r="L9" s="75"/>
      <c r="M9" s="75"/>
      <c r="N9" s="143"/>
      <c r="O9" s="75"/>
      <c r="P9" s="75"/>
      <c r="Q9" s="75"/>
      <c r="R9" s="76">
        <f t="shared" ref="R9:T9" si="8">O9+J9+E9</f>
        <v>31.24</v>
      </c>
      <c r="S9" s="76">
        <f t="shared" si="8"/>
        <v>28.94</v>
      </c>
      <c r="T9" s="76">
        <f t="shared" si="8"/>
        <v>2.3</v>
      </c>
      <c r="U9" s="75"/>
    </row>
    <row r="10" s="1" customFormat="1" ht="16" hidden="1" customHeight="1" spans="1:21">
      <c r="A10" s="18">
        <v>7</v>
      </c>
      <c r="B10" s="142" t="s">
        <v>33</v>
      </c>
      <c r="C10" s="75">
        <v>16140</v>
      </c>
      <c r="D10" s="143">
        <v>48</v>
      </c>
      <c r="E10" s="75">
        <v>79.19</v>
      </c>
      <c r="F10" s="75">
        <f t="shared" si="0"/>
        <v>65.44</v>
      </c>
      <c r="G10" s="75">
        <v>13.75</v>
      </c>
      <c r="H10" s="75">
        <v>920</v>
      </c>
      <c r="I10" s="143">
        <v>1</v>
      </c>
      <c r="J10" s="75">
        <v>4.6</v>
      </c>
      <c r="K10" s="75">
        <f t="shared" si="1"/>
        <v>4.6</v>
      </c>
      <c r="L10" s="75"/>
      <c r="M10" s="75"/>
      <c r="N10" s="143"/>
      <c r="O10" s="75"/>
      <c r="P10" s="75"/>
      <c r="Q10" s="75"/>
      <c r="R10" s="76">
        <f t="shared" ref="R10:T10" si="9">O10+J10+E10</f>
        <v>83.79</v>
      </c>
      <c r="S10" s="76">
        <f t="shared" si="9"/>
        <v>70.04</v>
      </c>
      <c r="T10" s="76">
        <f t="shared" si="9"/>
        <v>13.75</v>
      </c>
      <c r="U10" s="75"/>
    </row>
    <row r="11" s="1" customFormat="1" ht="16" hidden="1" customHeight="1" spans="1:21">
      <c r="A11" s="18">
        <v>8</v>
      </c>
      <c r="B11" s="142" t="s">
        <v>37</v>
      </c>
      <c r="C11" s="75">
        <v>7718</v>
      </c>
      <c r="D11" s="143">
        <v>39</v>
      </c>
      <c r="E11" s="75">
        <v>37.66</v>
      </c>
      <c r="F11" s="75">
        <f t="shared" si="0"/>
        <v>37.65</v>
      </c>
      <c r="G11" s="75">
        <v>0.01</v>
      </c>
      <c r="H11" s="75">
        <v>1000</v>
      </c>
      <c r="I11" s="143">
        <v>1</v>
      </c>
      <c r="J11" s="75">
        <v>5</v>
      </c>
      <c r="K11" s="75">
        <f t="shared" si="1"/>
        <v>5</v>
      </c>
      <c r="L11" s="75"/>
      <c r="M11" s="75"/>
      <c r="N11" s="143"/>
      <c r="O11" s="75"/>
      <c r="P11" s="75">
        <f t="shared" ref="P11:P17" si="10">O11-Q11</f>
        <v>0</v>
      </c>
      <c r="Q11" s="75"/>
      <c r="R11" s="76">
        <f t="shared" ref="R11:T11" si="11">O11+J11+E11</f>
        <v>42.66</v>
      </c>
      <c r="S11" s="76">
        <f t="shared" si="11"/>
        <v>42.65</v>
      </c>
      <c r="T11" s="76">
        <f t="shared" si="11"/>
        <v>0.01</v>
      </c>
      <c r="U11" s="75"/>
    </row>
    <row r="12" s="1" customFormat="1" ht="16" hidden="1" customHeight="1" spans="1:21">
      <c r="A12" s="18">
        <v>9</v>
      </c>
      <c r="B12" s="142" t="s">
        <v>41</v>
      </c>
      <c r="C12" s="75">
        <v>8834</v>
      </c>
      <c r="D12" s="143">
        <v>158</v>
      </c>
      <c r="E12" s="75">
        <v>44.51</v>
      </c>
      <c r="F12" s="75">
        <f t="shared" si="0"/>
        <v>43.99</v>
      </c>
      <c r="G12" s="75">
        <f>0.5+0.02</f>
        <v>0.52</v>
      </c>
      <c r="H12" s="75">
        <v>1600</v>
      </c>
      <c r="I12" s="143">
        <v>2</v>
      </c>
      <c r="J12" s="75">
        <v>7.98</v>
      </c>
      <c r="K12" s="75">
        <f t="shared" si="1"/>
        <v>7.98</v>
      </c>
      <c r="L12" s="75"/>
      <c r="M12" s="75"/>
      <c r="N12" s="143"/>
      <c r="O12" s="75"/>
      <c r="P12" s="75">
        <f t="shared" si="10"/>
        <v>0</v>
      </c>
      <c r="Q12" s="75"/>
      <c r="R12" s="76">
        <f t="shared" ref="R12:T12" si="12">O12+J12+E12</f>
        <v>52.49</v>
      </c>
      <c r="S12" s="76">
        <f t="shared" si="12"/>
        <v>51.97</v>
      </c>
      <c r="T12" s="76">
        <f t="shared" si="12"/>
        <v>0.52</v>
      </c>
      <c r="U12" s="75"/>
    </row>
    <row r="13" s="1" customFormat="1" ht="16" hidden="1" customHeight="1" spans="1:21">
      <c r="A13" s="18">
        <v>10</v>
      </c>
      <c r="B13" s="142" t="s">
        <v>20</v>
      </c>
      <c r="C13" s="75">
        <v>8107.8</v>
      </c>
      <c r="D13" s="143">
        <v>34</v>
      </c>
      <c r="E13" s="75">
        <v>40.3</v>
      </c>
      <c r="F13" s="75">
        <f t="shared" si="0"/>
        <v>39.84</v>
      </c>
      <c r="G13" s="75">
        <v>0.46</v>
      </c>
      <c r="H13" s="75">
        <v>900</v>
      </c>
      <c r="I13" s="143">
        <v>1</v>
      </c>
      <c r="J13" s="75">
        <v>4.49</v>
      </c>
      <c r="K13" s="75">
        <f t="shared" si="1"/>
        <v>4.49</v>
      </c>
      <c r="L13" s="75"/>
      <c r="M13" s="75">
        <v>12769.2</v>
      </c>
      <c r="N13" s="143">
        <v>106</v>
      </c>
      <c r="O13" s="75">
        <v>21.69</v>
      </c>
      <c r="P13" s="75">
        <f t="shared" si="10"/>
        <v>21.69</v>
      </c>
      <c r="Q13" s="75"/>
      <c r="R13" s="76">
        <f t="shared" ref="R13:T13" si="13">O13+J13+E13</f>
        <v>66.48</v>
      </c>
      <c r="S13" s="76">
        <f t="shared" si="13"/>
        <v>66.02</v>
      </c>
      <c r="T13" s="76">
        <f t="shared" si="13"/>
        <v>0.46</v>
      </c>
      <c r="U13" s="75"/>
    </row>
    <row r="14" s="1" customFormat="1" ht="16" hidden="1" customHeight="1" spans="1:21">
      <c r="A14" s="18">
        <v>11</v>
      </c>
      <c r="B14" s="142" t="s">
        <v>27</v>
      </c>
      <c r="C14" s="75">
        <v>12810</v>
      </c>
      <c r="D14" s="143">
        <v>28</v>
      </c>
      <c r="E14" s="75">
        <v>63.36</v>
      </c>
      <c r="F14" s="75">
        <f t="shared" si="0"/>
        <v>63.36</v>
      </c>
      <c r="G14" s="144"/>
      <c r="H14" s="75">
        <v>8630</v>
      </c>
      <c r="I14" s="143">
        <v>10</v>
      </c>
      <c r="J14" s="75">
        <v>43.05</v>
      </c>
      <c r="K14" s="75">
        <f t="shared" si="1"/>
        <v>43.05</v>
      </c>
      <c r="L14" s="75"/>
      <c r="M14" s="75"/>
      <c r="N14" s="143"/>
      <c r="O14" s="75"/>
      <c r="P14" s="76">
        <f t="shared" si="10"/>
        <v>0</v>
      </c>
      <c r="Q14" s="75"/>
      <c r="R14" s="76">
        <f t="shared" ref="R14:T14" si="14">O14+J14+E14</f>
        <v>106.41</v>
      </c>
      <c r="S14" s="76">
        <f t="shared" si="14"/>
        <v>106.41</v>
      </c>
      <c r="T14" s="76">
        <f t="shared" si="14"/>
        <v>0</v>
      </c>
      <c r="U14" s="75"/>
    </row>
    <row r="15" s="1" customFormat="1" ht="16" hidden="1" customHeight="1" spans="1:21">
      <c r="A15" s="18">
        <v>12</v>
      </c>
      <c r="B15" s="142" t="s">
        <v>26</v>
      </c>
      <c r="C15" s="75">
        <v>33342.48</v>
      </c>
      <c r="D15" s="143">
        <v>233</v>
      </c>
      <c r="E15" s="75">
        <v>164.9</v>
      </c>
      <c r="F15" s="75">
        <f t="shared" si="0"/>
        <v>159.52</v>
      </c>
      <c r="G15" s="75">
        <f>9.47+0.35-4.47+0.03</f>
        <v>5.38</v>
      </c>
      <c r="H15" s="75">
        <v>4844.158048</v>
      </c>
      <c r="I15" s="143">
        <v>6</v>
      </c>
      <c r="J15" s="75">
        <v>24.15</v>
      </c>
      <c r="K15" s="75">
        <f t="shared" si="1"/>
        <v>19.68</v>
      </c>
      <c r="L15" s="75">
        <v>4.47</v>
      </c>
      <c r="M15" s="75">
        <v>20418</v>
      </c>
      <c r="N15" s="143">
        <v>277</v>
      </c>
      <c r="O15" s="75">
        <v>18.85</v>
      </c>
      <c r="P15" s="75">
        <f t="shared" si="10"/>
        <v>18.65</v>
      </c>
      <c r="Q15" s="75">
        <v>0.2</v>
      </c>
      <c r="R15" s="76">
        <f t="shared" ref="R15:T15" si="15">O15+J15+E15</f>
        <v>207.9</v>
      </c>
      <c r="S15" s="76">
        <f t="shared" si="15"/>
        <v>197.85</v>
      </c>
      <c r="T15" s="76">
        <f t="shared" si="15"/>
        <v>10.05</v>
      </c>
      <c r="U15" s="75"/>
    </row>
    <row r="16" s="1" customFormat="1" ht="16" hidden="1" customHeight="1" spans="1:21">
      <c r="A16" s="18">
        <v>13</v>
      </c>
      <c r="B16" s="142" t="s">
        <v>28</v>
      </c>
      <c r="C16" s="75">
        <v>7339</v>
      </c>
      <c r="D16" s="143">
        <v>23</v>
      </c>
      <c r="E16" s="75">
        <v>36.36</v>
      </c>
      <c r="F16" s="75">
        <f t="shared" si="0"/>
        <v>36.36</v>
      </c>
      <c r="G16" s="75"/>
      <c r="H16" s="75"/>
      <c r="I16" s="143"/>
      <c r="J16" s="75"/>
      <c r="K16" s="75"/>
      <c r="L16" s="75"/>
      <c r="M16" s="75">
        <v>2232.9</v>
      </c>
      <c r="N16" s="143">
        <v>9</v>
      </c>
      <c r="O16" s="75">
        <v>4.46</v>
      </c>
      <c r="P16" s="75">
        <f t="shared" si="10"/>
        <v>4.46</v>
      </c>
      <c r="Q16" s="75"/>
      <c r="R16" s="76">
        <f t="shared" ref="R16:T16" si="16">O16+J16+E16</f>
        <v>40.82</v>
      </c>
      <c r="S16" s="76">
        <f t="shared" si="16"/>
        <v>40.82</v>
      </c>
      <c r="T16" s="76">
        <f t="shared" si="16"/>
        <v>0</v>
      </c>
      <c r="U16" s="75"/>
    </row>
    <row r="17" s="1" customFormat="1" ht="16" hidden="1" customHeight="1" spans="1:21">
      <c r="A17" s="18">
        <v>14</v>
      </c>
      <c r="B17" s="142" t="s">
        <v>45</v>
      </c>
      <c r="C17" s="75">
        <v>10154.7</v>
      </c>
      <c r="D17" s="143">
        <v>51</v>
      </c>
      <c r="E17" s="75">
        <v>49.64</v>
      </c>
      <c r="F17" s="75">
        <f t="shared" si="0"/>
        <v>37.82</v>
      </c>
      <c r="G17" s="75">
        <f>14.01-2.19</f>
        <v>11.82</v>
      </c>
      <c r="H17" s="75">
        <v>880</v>
      </c>
      <c r="I17" s="143">
        <v>1</v>
      </c>
      <c r="J17" s="75">
        <v>2.19</v>
      </c>
      <c r="K17" s="75">
        <v>0</v>
      </c>
      <c r="L17" s="75">
        <v>2.19</v>
      </c>
      <c r="M17" s="75">
        <v>74723.26</v>
      </c>
      <c r="N17" s="143">
        <v>432</v>
      </c>
      <c r="O17" s="75">
        <v>123.38</v>
      </c>
      <c r="P17" s="75">
        <f t="shared" si="10"/>
        <v>25.85</v>
      </c>
      <c r="Q17" s="75">
        <v>97.53</v>
      </c>
      <c r="R17" s="76">
        <f t="shared" ref="R17:T17" si="17">O17+J17+E17</f>
        <v>175.21</v>
      </c>
      <c r="S17" s="76">
        <f t="shared" si="17"/>
        <v>63.67</v>
      </c>
      <c r="T17" s="76">
        <f t="shared" si="17"/>
        <v>111.54</v>
      </c>
      <c r="U17" s="75"/>
    </row>
    <row r="18" s="3" customFormat="1" ht="16" hidden="1" customHeight="1" spans="1:21">
      <c r="A18" s="20" t="s">
        <v>61</v>
      </c>
      <c r="B18" s="18"/>
      <c r="C18" s="76">
        <f t="shared" ref="C18:S18" si="18">SUM(C4:C17)</f>
        <v>168509.282217</v>
      </c>
      <c r="D18" s="145">
        <f t="shared" si="18"/>
        <v>920</v>
      </c>
      <c r="E18" s="76">
        <f t="shared" si="18"/>
        <v>828.45</v>
      </c>
      <c r="F18" s="76">
        <f t="shared" si="18"/>
        <v>770.82</v>
      </c>
      <c r="G18" s="76">
        <f t="shared" si="18"/>
        <v>57.63</v>
      </c>
      <c r="H18" s="76">
        <f t="shared" si="18"/>
        <v>43724.158048</v>
      </c>
      <c r="I18" s="145">
        <f t="shared" si="18"/>
        <v>51</v>
      </c>
      <c r="J18" s="76">
        <f t="shared" si="18"/>
        <v>215.01</v>
      </c>
      <c r="K18" s="76">
        <f t="shared" si="18"/>
        <v>180.37</v>
      </c>
      <c r="L18" s="76">
        <f t="shared" si="18"/>
        <v>34.64</v>
      </c>
      <c r="M18" s="76">
        <f t="shared" si="18"/>
        <v>130631.56</v>
      </c>
      <c r="N18" s="145">
        <f t="shared" si="18"/>
        <v>1023</v>
      </c>
      <c r="O18" s="76">
        <f t="shared" si="18"/>
        <v>203.42</v>
      </c>
      <c r="P18" s="76">
        <f t="shared" si="18"/>
        <v>105.69</v>
      </c>
      <c r="Q18" s="76">
        <f t="shared" si="18"/>
        <v>97.73</v>
      </c>
      <c r="R18" s="76">
        <f t="shared" si="18"/>
        <v>1246.88</v>
      </c>
      <c r="S18" s="76">
        <f t="shared" si="18"/>
        <v>1056.88</v>
      </c>
      <c r="T18" s="76">
        <f>Q18+L18+G18</f>
        <v>190</v>
      </c>
      <c r="U18" s="76"/>
    </row>
    <row r="19" s="1" customFormat="1" ht="27" hidden="1" spans="1:21">
      <c r="A19" s="27" t="s">
        <v>89</v>
      </c>
      <c r="B19" s="28">
        <f>SUM(D18,I18,N18)</f>
        <v>1994</v>
      </c>
      <c r="C19" s="29" t="s">
        <v>90</v>
      </c>
      <c r="D19" s="146"/>
      <c r="E19" s="31">
        <f>SUM(D18,I18)</f>
        <v>971</v>
      </c>
      <c r="F19" s="30"/>
      <c r="G19" s="29" t="s">
        <v>91</v>
      </c>
      <c r="H19" s="30"/>
      <c r="I19" s="59">
        <f>SUM(F18,K18)</f>
        <v>951.19</v>
      </c>
      <c r="J19" s="60"/>
      <c r="K19" s="29" t="s">
        <v>92</v>
      </c>
      <c r="L19" s="30"/>
      <c r="M19" s="59">
        <f>SUM(C18,H18)</f>
        <v>212233.440265</v>
      </c>
      <c r="N19" s="60"/>
      <c r="O19" s="18"/>
      <c r="P19" s="61"/>
      <c r="Q19" s="77"/>
      <c r="R19" s="78"/>
      <c r="S19" s="78"/>
      <c r="T19" s="78"/>
      <c r="U19" s="162"/>
    </row>
    <row r="20" s="1" customFormat="1" spans="2:20">
      <c r="B20" s="5"/>
      <c r="C20" s="6"/>
      <c r="D20" s="7"/>
      <c r="E20" s="6"/>
      <c r="F20" s="6"/>
      <c r="G20" s="6"/>
      <c r="H20" s="6"/>
      <c r="I20" s="7"/>
      <c r="J20" s="6"/>
      <c r="K20" s="6"/>
      <c r="L20" s="6"/>
      <c r="M20" s="8"/>
      <c r="N20" s="9"/>
      <c r="O20" s="8"/>
      <c r="P20" s="138"/>
      <c r="Q20" s="8"/>
      <c r="R20" s="11"/>
      <c r="S20" s="11"/>
      <c r="T20" s="11"/>
    </row>
    <row r="21" s="1" customFormat="1" spans="2:21">
      <c r="B21" s="5"/>
      <c r="C21" s="6"/>
      <c r="D21" s="7"/>
      <c r="E21" s="6"/>
      <c r="F21" s="6"/>
      <c r="G21" s="6"/>
      <c r="H21" s="63"/>
      <c r="I21" s="7"/>
      <c r="J21" s="6"/>
      <c r="K21" s="6"/>
      <c r="L21" s="6"/>
      <c r="M21" s="155"/>
      <c r="N21" s="156"/>
      <c r="O21" s="155"/>
      <c r="P21" s="138"/>
      <c r="Q21" s="155"/>
      <c r="R21" s="163"/>
      <c r="S21" s="163"/>
      <c r="T21" s="163"/>
      <c r="U21" s="88"/>
    </row>
    <row r="22" s="1" customFormat="1" spans="1:21">
      <c r="A22" s="147" t="s">
        <v>87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64"/>
    </row>
    <row r="23" s="137" customFormat="1" spans="1:21">
      <c r="A23" s="149" t="s">
        <v>2</v>
      </c>
      <c r="B23" s="150" t="s">
        <v>93</v>
      </c>
      <c r="C23" s="151" t="s">
        <v>4</v>
      </c>
      <c r="D23" s="152"/>
      <c r="E23" s="152"/>
      <c r="F23" s="152"/>
      <c r="G23" s="152"/>
      <c r="H23" s="152"/>
      <c r="I23" s="152"/>
      <c r="J23" s="152"/>
      <c r="K23" s="152"/>
      <c r="L23" s="157"/>
      <c r="M23" s="151" t="s">
        <v>5</v>
      </c>
      <c r="N23" s="152"/>
      <c r="O23" s="152"/>
      <c r="P23" s="152"/>
      <c r="Q23" s="157"/>
      <c r="R23" s="150" t="s">
        <v>64</v>
      </c>
      <c r="S23" s="150" t="s">
        <v>65</v>
      </c>
      <c r="T23" s="150" t="s">
        <v>8</v>
      </c>
      <c r="U23" s="150" t="s">
        <v>9</v>
      </c>
    </row>
    <row r="24" s="4" customFormat="1" ht="42" customHeight="1" spans="1:21">
      <c r="A24" s="37"/>
      <c r="B24" s="153"/>
      <c r="C24" s="39" t="s">
        <v>10</v>
      </c>
      <c r="D24" s="40" t="s">
        <v>67</v>
      </c>
      <c r="E24" s="39" t="s">
        <v>11</v>
      </c>
      <c r="F24" s="154" t="s">
        <v>12</v>
      </c>
      <c r="G24" s="154" t="s">
        <v>13</v>
      </c>
      <c r="H24" s="39" t="s">
        <v>14</v>
      </c>
      <c r="I24" s="40" t="s">
        <v>67</v>
      </c>
      <c r="J24" s="39" t="s">
        <v>11</v>
      </c>
      <c r="K24" s="154" t="s">
        <v>12</v>
      </c>
      <c r="L24" s="154" t="s">
        <v>13</v>
      </c>
      <c r="M24" s="39" t="s">
        <v>15</v>
      </c>
      <c r="N24" s="40" t="s">
        <v>67</v>
      </c>
      <c r="O24" s="39" t="s">
        <v>11</v>
      </c>
      <c r="P24" s="158" t="s">
        <v>12</v>
      </c>
      <c r="Q24" s="154" t="s">
        <v>13</v>
      </c>
      <c r="R24" s="153"/>
      <c r="S24" s="153"/>
      <c r="T24" s="153"/>
      <c r="U24" s="153"/>
    </row>
    <row r="25" s="1" customFormat="1" spans="1:24">
      <c r="A25" s="34">
        <v>1</v>
      </c>
      <c r="B25" s="42" t="s">
        <v>31</v>
      </c>
      <c r="C25" s="36">
        <v>3705</v>
      </c>
      <c r="D25" s="43">
        <v>14</v>
      </c>
      <c r="E25" s="36">
        <v>18.51</v>
      </c>
      <c r="F25" s="36">
        <v>11.5</v>
      </c>
      <c r="G25" s="36">
        <v>7.01</v>
      </c>
      <c r="H25" s="36">
        <v>900</v>
      </c>
      <c r="I25" s="43">
        <v>1</v>
      </c>
      <c r="J25" s="36">
        <v>4.5</v>
      </c>
      <c r="K25" s="36">
        <v>4.5</v>
      </c>
      <c r="L25" s="36"/>
      <c r="M25" s="159"/>
      <c r="N25" s="160"/>
      <c r="O25" s="159"/>
      <c r="P25" s="161">
        <v>0</v>
      </c>
      <c r="Q25" s="159"/>
      <c r="R25" s="165">
        <v>23.01</v>
      </c>
      <c r="S25" s="165">
        <v>16</v>
      </c>
      <c r="T25" s="165">
        <v>7.01</v>
      </c>
      <c r="U25" s="34"/>
      <c r="W25" s="1">
        <v>19.03</v>
      </c>
      <c r="X25" s="1">
        <f>+W25-S25</f>
        <v>3.03</v>
      </c>
    </row>
    <row r="26" s="1" customFormat="1" spans="1:24">
      <c r="A26" s="34">
        <v>2</v>
      </c>
      <c r="B26" s="42" t="s">
        <v>17</v>
      </c>
      <c r="C26" s="36">
        <v>35529.302217</v>
      </c>
      <c r="D26" s="43">
        <v>170</v>
      </c>
      <c r="E26" s="36">
        <v>171.15</v>
      </c>
      <c r="F26" s="36">
        <v>158.28</v>
      </c>
      <c r="G26" s="36">
        <v>12.87</v>
      </c>
      <c r="H26" s="36">
        <v>14250</v>
      </c>
      <c r="I26" s="43">
        <v>17</v>
      </c>
      <c r="J26" s="36">
        <v>70.16</v>
      </c>
      <c r="K26" s="36">
        <v>42.18</v>
      </c>
      <c r="L26" s="36">
        <v>27.98</v>
      </c>
      <c r="M26" s="159">
        <v>20488.2</v>
      </c>
      <c r="N26" s="160">
        <v>199</v>
      </c>
      <c r="O26" s="159">
        <v>35.04</v>
      </c>
      <c r="P26" s="161">
        <v>35.04</v>
      </c>
      <c r="Q26" s="159"/>
      <c r="R26" s="165">
        <v>276.35</v>
      </c>
      <c r="S26" s="165">
        <v>235.5</v>
      </c>
      <c r="T26" s="165">
        <v>40.85</v>
      </c>
      <c r="U26" s="34"/>
      <c r="W26" s="1">
        <v>235.5</v>
      </c>
      <c r="X26" s="1">
        <f t="shared" ref="X26:X38" si="19">+W26-S26</f>
        <v>0</v>
      </c>
    </row>
    <row r="27" s="1" customFormat="1" spans="1:24">
      <c r="A27" s="34">
        <v>3</v>
      </c>
      <c r="B27" s="42" t="s">
        <v>49</v>
      </c>
      <c r="C27" s="36">
        <v>10038</v>
      </c>
      <c r="D27" s="43">
        <v>69</v>
      </c>
      <c r="E27" s="36">
        <v>50.02</v>
      </c>
      <c r="F27" s="36">
        <v>45.97</v>
      </c>
      <c r="G27" s="36">
        <v>4.05</v>
      </c>
      <c r="H27" s="36">
        <v>1700</v>
      </c>
      <c r="I27" s="43">
        <v>2</v>
      </c>
      <c r="J27" s="36">
        <v>8.49</v>
      </c>
      <c r="K27" s="36">
        <v>8.49</v>
      </c>
      <c r="L27" s="36"/>
      <c r="M27" s="159"/>
      <c r="N27" s="160"/>
      <c r="O27" s="159"/>
      <c r="P27" s="161"/>
      <c r="Q27" s="159"/>
      <c r="R27" s="165">
        <v>58.51</v>
      </c>
      <c r="S27" s="165">
        <v>54.46</v>
      </c>
      <c r="T27" s="165">
        <v>4.05</v>
      </c>
      <c r="U27" s="34"/>
      <c r="W27" s="1">
        <v>54.46</v>
      </c>
      <c r="X27" s="1">
        <f t="shared" si="19"/>
        <v>0</v>
      </c>
    </row>
    <row r="28" s="1" customFormat="1" spans="1:24">
      <c r="A28" s="34">
        <v>4</v>
      </c>
      <c r="B28" s="42" t="s">
        <v>30</v>
      </c>
      <c r="C28" s="36">
        <v>6020</v>
      </c>
      <c r="D28" s="43">
        <v>19</v>
      </c>
      <c r="E28" s="36">
        <v>29.87</v>
      </c>
      <c r="F28" s="36">
        <v>27.38</v>
      </c>
      <c r="G28" s="36">
        <v>2.49</v>
      </c>
      <c r="H28" s="36">
        <v>3200</v>
      </c>
      <c r="I28" s="43">
        <v>4</v>
      </c>
      <c r="J28" s="36">
        <v>15.95</v>
      </c>
      <c r="K28" s="36">
        <v>15.95</v>
      </c>
      <c r="L28" s="36"/>
      <c r="M28" s="159"/>
      <c r="N28" s="160"/>
      <c r="O28" s="159"/>
      <c r="P28" s="161">
        <v>0</v>
      </c>
      <c r="Q28" s="159"/>
      <c r="R28" s="165">
        <v>45.82</v>
      </c>
      <c r="S28" s="165">
        <v>43.33</v>
      </c>
      <c r="T28" s="165">
        <v>2.49</v>
      </c>
      <c r="U28" s="34"/>
      <c r="W28" s="1">
        <v>43.33</v>
      </c>
      <c r="X28" s="1">
        <f t="shared" si="19"/>
        <v>0</v>
      </c>
    </row>
    <row r="29" s="1" customFormat="1" spans="1:24">
      <c r="A29" s="34">
        <v>5</v>
      </c>
      <c r="B29" s="42" t="s">
        <v>32</v>
      </c>
      <c r="C29" s="36">
        <v>6266</v>
      </c>
      <c r="D29" s="43">
        <v>22</v>
      </c>
      <c r="E29" s="36">
        <v>31.2</v>
      </c>
      <c r="F29" s="36">
        <v>31.2</v>
      </c>
      <c r="G29" s="36"/>
      <c r="H29" s="36">
        <v>1000</v>
      </c>
      <c r="I29" s="43">
        <v>1</v>
      </c>
      <c r="J29" s="36">
        <v>4.99</v>
      </c>
      <c r="K29" s="36">
        <v>4.99</v>
      </c>
      <c r="L29" s="36"/>
      <c r="M29" s="159"/>
      <c r="N29" s="160"/>
      <c r="O29" s="159"/>
      <c r="P29" s="161">
        <v>0</v>
      </c>
      <c r="Q29" s="159"/>
      <c r="R29" s="165">
        <v>36.19</v>
      </c>
      <c r="S29" s="165">
        <v>36.19</v>
      </c>
      <c r="T29" s="165">
        <v>0</v>
      </c>
      <c r="U29" s="34"/>
      <c r="W29" s="1">
        <v>36.19</v>
      </c>
      <c r="X29" s="1">
        <f t="shared" si="19"/>
        <v>0</v>
      </c>
    </row>
    <row r="30" s="1" customFormat="1" spans="1:24">
      <c r="A30" s="34">
        <v>6</v>
      </c>
      <c r="B30" s="42" t="s">
        <v>19</v>
      </c>
      <c r="C30" s="36">
        <v>2505</v>
      </c>
      <c r="D30" s="43">
        <v>12</v>
      </c>
      <c r="E30" s="36">
        <v>11.78</v>
      </c>
      <c r="F30" s="36">
        <v>9.48</v>
      </c>
      <c r="G30" s="36">
        <v>2.3</v>
      </c>
      <c r="H30" s="36">
        <v>3900</v>
      </c>
      <c r="I30" s="43">
        <v>4</v>
      </c>
      <c r="J30" s="36">
        <v>19.46</v>
      </c>
      <c r="K30" s="36">
        <v>19.46</v>
      </c>
      <c r="L30" s="36"/>
      <c r="M30" s="159"/>
      <c r="N30" s="160"/>
      <c r="O30" s="159"/>
      <c r="P30" s="161"/>
      <c r="Q30" s="159"/>
      <c r="R30" s="165">
        <v>31.24</v>
      </c>
      <c r="S30" s="165">
        <v>28.94</v>
      </c>
      <c r="T30" s="165">
        <v>2.3</v>
      </c>
      <c r="U30" s="34"/>
      <c r="W30" s="1">
        <v>28.94</v>
      </c>
      <c r="X30" s="1">
        <f t="shared" si="19"/>
        <v>0</v>
      </c>
    </row>
    <row r="31" s="1" customFormat="1" spans="1:24">
      <c r="A31" s="34">
        <v>7</v>
      </c>
      <c r="B31" s="42" t="s">
        <v>33</v>
      </c>
      <c r="C31" s="36">
        <v>16140</v>
      </c>
      <c r="D31" s="43">
        <v>48</v>
      </c>
      <c r="E31" s="36">
        <v>79.19</v>
      </c>
      <c r="F31" s="36">
        <v>60.69</v>
      </c>
      <c r="G31" s="36">
        <v>18.5</v>
      </c>
      <c r="H31" s="36">
        <v>920</v>
      </c>
      <c r="I31" s="43">
        <v>1</v>
      </c>
      <c r="J31" s="36">
        <v>4.6</v>
      </c>
      <c r="K31" s="36">
        <v>4.6</v>
      </c>
      <c r="L31" s="36"/>
      <c r="M31" s="159"/>
      <c r="N31" s="160"/>
      <c r="O31" s="159"/>
      <c r="P31" s="161"/>
      <c r="Q31" s="159"/>
      <c r="R31" s="165">
        <v>83.79</v>
      </c>
      <c r="S31" s="165">
        <v>65.29</v>
      </c>
      <c r="T31" s="165">
        <v>18.5</v>
      </c>
      <c r="U31" s="34"/>
      <c r="W31" s="1">
        <v>70.04</v>
      </c>
      <c r="X31" s="1">
        <f t="shared" si="19"/>
        <v>4.75</v>
      </c>
    </row>
    <row r="32" s="1" customFormat="1" spans="1:24">
      <c r="A32" s="34">
        <v>8</v>
      </c>
      <c r="B32" s="42" t="s">
        <v>37</v>
      </c>
      <c r="C32" s="36">
        <v>7718</v>
      </c>
      <c r="D32" s="43">
        <v>39</v>
      </c>
      <c r="E32" s="36">
        <v>37.66</v>
      </c>
      <c r="F32" s="36">
        <v>37.65</v>
      </c>
      <c r="G32" s="36">
        <v>0.01</v>
      </c>
      <c r="H32" s="36">
        <v>1000</v>
      </c>
      <c r="I32" s="43">
        <v>1</v>
      </c>
      <c r="J32" s="36">
        <v>5</v>
      </c>
      <c r="K32" s="36">
        <v>5</v>
      </c>
      <c r="L32" s="36"/>
      <c r="M32" s="159"/>
      <c r="N32" s="160"/>
      <c r="O32" s="159"/>
      <c r="P32" s="161">
        <v>0</v>
      </c>
      <c r="Q32" s="159"/>
      <c r="R32" s="165">
        <v>42.66</v>
      </c>
      <c r="S32" s="165">
        <v>42.65</v>
      </c>
      <c r="T32" s="165">
        <v>0.01</v>
      </c>
      <c r="U32" s="34"/>
      <c r="W32" s="1">
        <v>42.65</v>
      </c>
      <c r="X32" s="1">
        <f t="shared" si="19"/>
        <v>0</v>
      </c>
    </row>
    <row r="33" s="1" customFormat="1" spans="1:24">
      <c r="A33" s="34">
        <v>9</v>
      </c>
      <c r="B33" s="42" t="s">
        <v>41</v>
      </c>
      <c r="C33" s="36">
        <v>8834</v>
      </c>
      <c r="D33" s="43">
        <v>158</v>
      </c>
      <c r="E33" s="36">
        <v>44.51</v>
      </c>
      <c r="F33" s="36">
        <v>43.99</v>
      </c>
      <c r="G33" s="36">
        <v>0.52</v>
      </c>
      <c r="H33" s="36">
        <v>1600</v>
      </c>
      <c r="I33" s="43">
        <v>2</v>
      </c>
      <c r="J33" s="36">
        <v>7.98</v>
      </c>
      <c r="K33" s="36">
        <v>3.98</v>
      </c>
      <c r="L33" s="36">
        <v>4</v>
      </c>
      <c r="M33" s="159"/>
      <c r="N33" s="160"/>
      <c r="O33" s="159"/>
      <c r="P33" s="161">
        <v>0</v>
      </c>
      <c r="Q33" s="159"/>
      <c r="R33" s="165">
        <v>52.49</v>
      </c>
      <c r="S33" s="165">
        <v>47.97</v>
      </c>
      <c r="T33" s="165">
        <v>4.52</v>
      </c>
      <c r="U33" s="34"/>
      <c r="W33" s="1">
        <v>51.97</v>
      </c>
      <c r="X33" s="1">
        <f t="shared" si="19"/>
        <v>4</v>
      </c>
    </row>
    <row r="34" s="1" customFormat="1" spans="1:24">
      <c r="A34" s="34">
        <v>10</v>
      </c>
      <c r="B34" s="42" t="s">
        <v>20</v>
      </c>
      <c r="C34" s="36">
        <v>8107.8</v>
      </c>
      <c r="D34" s="43">
        <v>34</v>
      </c>
      <c r="E34" s="36">
        <v>40.3</v>
      </c>
      <c r="F34" s="36">
        <v>39.84</v>
      </c>
      <c r="G34" s="36">
        <v>0.46</v>
      </c>
      <c r="H34" s="36">
        <v>900</v>
      </c>
      <c r="I34" s="43">
        <v>1</v>
      </c>
      <c r="J34" s="36">
        <v>4.49</v>
      </c>
      <c r="K34" s="36">
        <v>4.49</v>
      </c>
      <c r="L34" s="36"/>
      <c r="M34" s="159">
        <v>12769.2</v>
      </c>
      <c r="N34" s="160">
        <v>106</v>
      </c>
      <c r="O34" s="159">
        <v>21.69</v>
      </c>
      <c r="P34" s="161">
        <v>21.69</v>
      </c>
      <c r="Q34" s="159"/>
      <c r="R34" s="165">
        <v>66.48</v>
      </c>
      <c r="S34" s="165">
        <v>66.02</v>
      </c>
      <c r="T34" s="165">
        <v>0.46</v>
      </c>
      <c r="U34" s="34"/>
      <c r="W34" s="1">
        <v>66.02</v>
      </c>
      <c r="X34" s="1">
        <f t="shared" si="19"/>
        <v>0</v>
      </c>
    </row>
    <row r="35" s="1" customFormat="1" spans="1:24">
      <c r="A35" s="34">
        <v>11</v>
      </c>
      <c r="B35" s="42" t="s">
        <v>27</v>
      </c>
      <c r="C35" s="36">
        <v>12810</v>
      </c>
      <c r="D35" s="43">
        <v>28</v>
      </c>
      <c r="E35" s="36">
        <v>63.36</v>
      </c>
      <c r="F35" s="36">
        <v>63.36</v>
      </c>
      <c r="G35" s="36"/>
      <c r="H35" s="36">
        <v>8630</v>
      </c>
      <c r="I35" s="43">
        <v>10</v>
      </c>
      <c r="J35" s="36">
        <v>43.05</v>
      </c>
      <c r="K35" s="36">
        <v>43.05</v>
      </c>
      <c r="L35" s="36"/>
      <c r="M35" s="159"/>
      <c r="N35" s="160"/>
      <c r="O35" s="159"/>
      <c r="P35" s="161">
        <v>0</v>
      </c>
      <c r="Q35" s="159"/>
      <c r="R35" s="165">
        <v>106.41</v>
      </c>
      <c r="S35" s="165">
        <v>106.41</v>
      </c>
      <c r="T35" s="165">
        <v>0</v>
      </c>
      <c r="U35" s="34"/>
      <c r="W35" s="1">
        <v>106.41</v>
      </c>
      <c r="X35" s="1">
        <f t="shared" si="19"/>
        <v>0</v>
      </c>
    </row>
    <row r="36" s="1" customFormat="1" spans="1:24">
      <c r="A36" s="34">
        <v>12</v>
      </c>
      <c r="B36" s="42" t="s">
        <v>26</v>
      </c>
      <c r="C36" s="36">
        <v>33342.48</v>
      </c>
      <c r="D36" s="43">
        <v>233</v>
      </c>
      <c r="E36" s="36">
        <v>164.9</v>
      </c>
      <c r="F36" s="36">
        <v>159.52</v>
      </c>
      <c r="G36" s="36">
        <v>5.38</v>
      </c>
      <c r="H36" s="36">
        <v>4844.158048</v>
      </c>
      <c r="I36" s="43">
        <v>6</v>
      </c>
      <c r="J36" s="36">
        <v>24.15</v>
      </c>
      <c r="K36" s="36">
        <v>19.68</v>
      </c>
      <c r="L36" s="36">
        <v>4.47</v>
      </c>
      <c r="M36" s="159">
        <v>20418</v>
      </c>
      <c r="N36" s="160">
        <v>277</v>
      </c>
      <c r="O36" s="159">
        <v>18.85</v>
      </c>
      <c r="P36" s="161">
        <v>18.65</v>
      </c>
      <c r="Q36" s="159">
        <v>0.2</v>
      </c>
      <c r="R36" s="165">
        <v>207.9</v>
      </c>
      <c r="S36" s="165">
        <v>197.85</v>
      </c>
      <c r="T36" s="165">
        <v>10.05</v>
      </c>
      <c r="U36" s="34"/>
      <c r="W36" s="1">
        <v>197.85</v>
      </c>
      <c r="X36" s="1">
        <f t="shared" si="19"/>
        <v>0</v>
      </c>
    </row>
    <row r="37" s="1" customFormat="1" spans="1:24">
      <c r="A37" s="34">
        <v>13</v>
      </c>
      <c r="B37" s="42" t="s">
        <v>28</v>
      </c>
      <c r="C37" s="36">
        <v>7339</v>
      </c>
      <c r="D37" s="43">
        <v>23</v>
      </c>
      <c r="E37" s="36">
        <v>36.36</v>
      </c>
      <c r="F37" s="36">
        <v>36.36</v>
      </c>
      <c r="G37" s="36"/>
      <c r="H37" s="36"/>
      <c r="I37" s="43"/>
      <c r="J37" s="36"/>
      <c r="K37" s="36"/>
      <c r="L37" s="36"/>
      <c r="M37" s="159">
        <v>2232.9</v>
      </c>
      <c r="N37" s="160">
        <v>9</v>
      </c>
      <c r="O37" s="159">
        <v>4.46</v>
      </c>
      <c r="P37" s="161">
        <v>4.46</v>
      </c>
      <c r="Q37" s="159"/>
      <c r="R37" s="165">
        <v>40.82</v>
      </c>
      <c r="S37" s="165">
        <v>40.82</v>
      </c>
      <c r="T37" s="165">
        <v>0</v>
      </c>
      <c r="U37" s="34"/>
      <c r="W37" s="1">
        <v>40.82</v>
      </c>
      <c r="X37" s="1">
        <f t="shared" si="19"/>
        <v>0</v>
      </c>
    </row>
    <row r="38" s="1" customFormat="1" spans="1:24">
      <c r="A38" s="34">
        <v>14</v>
      </c>
      <c r="B38" s="42" t="s">
        <v>45</v>
      </c>
      <c r="C38" s="36">
        <v>10154.7</v>
      </c>
      <c r="D38" s="43">
        <v>51</v>
      </c>
      <c r="E38" s="36">
        <v>49.64</v>
      </c>
      <c r="F38" s="36">
        <v>37.82</v>
      </c>
      <c r="G38" s="36">
        <v>11.82</v>
      </c>
      <c r="H38" s="36">
        <v>880</v>
      </c>
      <c r="I38" s="43">
        <v>1</v>
      </c>
      <c r="J38" s="36">
        <v>2.19</v>
      </c>
      <c r="K38" s="36">
        <v>0</v>
      </c>
      <c r="L38" s="36">
        <v>2.19</v>
      </c>
      <c r="M38" s="159">
        <v>74723.26</v>
      </c>
      <c r="N38" s="160">
        <v>432</v>
      </c>
      <c r="O38" s="159">
        <v>123.38</v>
      </c>
      <c r="P38" s="161">
        <v>24.68</v>
      </c>
      <c r="Q38" s="159">
        <v>98.7</v>
      </c>
      <c r="R38" s="165">
        <v>175.21</v>
      </c>
      <c r="S38" s="165">
        <v>62.5</v>
      </c>
      <c r="T38" s="165">
        <v>112.71</v>
      </c>
      <c r="U38" s="34"/>
      <c r="W38" s="1">
        <v>63.67</v>
      </c>
      <c r="X38" s="1">
        <f t="shared" si="19"/>
        <v>1.17</v>
      </c>
    </row>
    <row r="39" s="1" customFormat="1" spans="1:21">
      <c r="A39" s="34" t="s">
        <v>61</v>
      </c>
      <c r="B39" s="42"/>
      <c r="C39" s="36">
        <v>168509.282217</v>
      </c>
      <c r="D39" s="43">
        <v>920</v>
      </c>
      <c r="E39" s="36">
        <v>828.45</v>
      </c>
      <c r="F39" s="36">
        <v>763.04</v>
      </c>
      <c r="G39" s="36">
        <v>65.41</v>
      </c>
      <c r="H39" s="44">
        <v>43724.158048</v>
      </c>
      <c r="I39" s="43">
        <v>51</v>
      </c>
      <c r="J39" s="36">
        <v>215.01</v>
      </c>
      <c r="K39" s="36">
        <v>176.37</v>
      </c>
      <c r="L39" s="36">
        <v>38.64</v>
      </c>
      <c r="M39" s="36">
        <v>130631.56</v>
      </c>
      <c r="N39" s="43">
        <v>1023</v>
      </c>
      <c r="O39" s="36">
        <v>203.42</v>
      </c>
      <c r="P39" s="36">
        <v>104.52</v>
      </c>
      <c r="Q39" s="36">
        <v>98.9</v>
      </c>
      <c r="R39" s="36">
        <v>1246.88</v>
      </c>
      <c r="S39" s="36">
        <v>1043.93</v>
      </c>
      <c r="T39" s="36">
        <v>202.95</v>
      </c>
      <c r="U39" s="36"/>
    </row>
    <row r="40" s="1" customFormat="1" spans="1:21">
      <c r="A40" s="34" t="s">
        <v>89</v>
      </c>
      <c r="B40" s="42">
        <v>1994</v>
      </c>
      <c r="C40" s="36" t="s">
        <v>90</v>
      </c>
      <c r="D40" s="43"/>
      <c r="E40" s="36">
        <v>971</v>
      </c>
      <c r="F40" s="36"/>
      <c r="G40" s="36" t="s">
        <v>91</v>
      </c>
      <c r="H40" s="36"/>
      <c r="I40" s="43">
        <v>939.41</v>
      </c>
      <c r="J40" s="36"/>
      <c r="K40" s="36" t="s">
        <v>92</v>
      </c>
      <c r="L40" s="36"/>
      <c r="M40" s="159">
        <v>212233.440265</v>
      </c>
      <c r="N40" s="160"/>
      <c r="O40" s="159"/>
      <c r="P40" s="161"/>
      <c r="Q40" s="159"/>
      <c r="R40" s="165"/>
      <c r="S40" s="165"/>
      <c r="T40" s="165"/>
      <c r="U40" s="34"/>
    </row>
    <row r="41" s="1" customFormat="1" spans="2:20">
      <c r="B41" s="5"/>
      <c r="C41" s="6"/>
      <c r="D41" s="7"/>
      <c r="E41" s="6"/>
      <c r="F41" s="6"/>
      <c r="G41" s="6"/>
      <c r="H41" s="6"/>
      <c r="I41" s="7"/>
      <c r="J41" s="6"/>
      <c r="K41" s="6"/>
      <c r="L41" s="6"/>
      <c r="M41" s="8"/>
      <c r="N41" s="9"/>
      <c r="O41" s="8"/>
      <c r="P41" s="138"/>
      <c r="Q41" s="8"/>
      <c r="R41" s="11"/>
      <c r="S41" s="11"/>
      <c r="T41" s="11"/>
    </row>
    <row r="42" s="1" customFormat="1" spans="2:20">
      <c r="B42" s="5"/>
      <c r="C42" s="6"/>
      <c r="D42" s="7"/>
      <c r="E42" s="6"/>
      <c r="F42" s="6"/>
      <c r="G42" s="6"/>
      <c r="H42" s="6"/>
      <c r="I42" s="7"/>
      <c r="J42" s="6"/>
      <c r="K42" s="6"/>
      <c r="L42" s="6"/>
      <c r="M42" s="8"/>
      <c r="N42" s="156"/>
      <c r="O42" s="155"/>
      <c r="P42" s="138"/>
      <c r="Q42" s="155"/>
      <c r="R42" s="163"/>
      <c r="S42" s="11"/>
      <c r="T42" s="11"/>
    </row>
    <row r="43" s="1" customFormat="1" spans="2:20">
      <c r="B43" s="5"/>
      <c r="C43" s="6"/>
      <c r="D43" s="7"/>
      <c r="E43" s="6"/>
      <c r="F43" s="6"/>
      <c r="G43" s="6"/>
      <c r="H43" s="6"/>
      <c r="I43" s="7"/>
      <c r="J43" s="6"/>
      <c r="K43" s="6"/>
      <c r="L43" s="6"/>
      <c r="M43" s="8"/>
      <c r="N43" s="156"/>
      <c r="O43" s="155"/>
      <c r="P43" s="138"/>
      <c r="Q43" s="155"/>
      <c r="R43" s="163"/>
      <c r="S43" s="11"/>
      <c r="T43" s="11"/>
    </row>
    <row r="44" s="1" customFormat="1" spans="2:20">
      <c r="B44" s="5"/>
      <c r="C44" s="6"/>
      <c r="D44" s="7"/>
      <c r="E44" s="6"/>
      <c r="F44" s="6"/>
      <c r="G44" s="6"/>
      <c r="H44" s="6"/>
      <c r="I44" s="7"/>
      <c r="J44" s="6"/>
      <c r="K44" s="6"/>
      <c r="L44" s="6"/>
      <c r="M44" s="8"/>
      <c r="N44" s="65" t="s">
        <v>94</v>
      </c>
      <c r="O44" s="66"/>
      <c r="P44" s="138"/>
      <c r="Q44" s="166" t="s">
        <v>95</v>
      </c>
      <c r="R44" s="167"/>
      <c r="S44" s="11"/>
      <c r="T44" s="11"/>
    </row>
    <row r="45" s="1" customFormat="1" spans="2:20">
      <c r="B45" s="5"/>
      <c r="C45" s="6"/>
      <c r="D45" s="7"/>
      <c r="E45" s="6"/>
      <c r="F45" s="6"/>
      <c r="G45" s="6"/>
      <c r="H45" s="6"/>
      <c r="I45" s="7"/>
      <c r="J45" s="6"/>
      <c r="K45" s="6" t="s">
        <v>67</v>
      </c>
      <c r="L45" s="6" t="s">
        <v>70</v>
      </c>
      <c r="M45" s="8" t="s">
        <v>71</v>
      </c>
      <c r="N45" s="65" t="s">
        <v>72</v>
      </c>
      <c r="O45" s="66" t="s">
        <v>73</v>
      </c>
      <c r="P45" s="138"/>
      <c r="Q45" s="168" t="s">
        <v>72</v>
      </c>
      <c r="R45" s="166" t="s">
        <v>73</v>
      </c>
      <c r="S45" s="11"/>
      <c r="T45" s="11"/>
    </row>
    <row r="46" s="1" customFormat="1" spans="2:20">
      <c r="B46" s="5"/>
      <c r="C46" s="6"/>
      <c r="D46" s="7"/>
      <c r="E46" s="6"/>
      <c r="F46" s="6"/>
      <c r="G46" s="6"/>
      <c r="H46" s="6"/>
      <c r="I46" s="7"/>
      <c r="J46" s="6">
        <v>500</v>
      </c>
      <c r="K46" s="53">
        <f>+D18</f>
        <v>920</v>
      </c>
      <c r="L46" s="53">
        <f>+C18</f>
        <v>168509.282217</v>
      </c>
      <c r="M46" s="73">
        <f>+E18</f>
        <v>828.45</v>
      </c>
      <c r="N46" s="70">
        <f>+G18</f>
        <v>57.63</v>
      </c>
      <c r="O46" s="70">
        <f t="shared" ref="O46:O50" si="20">+M46-N46</f>
        <v>770.82</v>
      </c>
      <c r="P46" s="138"/>
      <c r="Q46" s="166">
        <f>57.63+M58</f>
        <v>65.41</v>
      </c>
      <c r="R46" s="167">
        <f>+M46-Q46</f>
        <v>763.04</v>
      </c>
      <c r="S46" s="11"/>
      <c r="T46" s="11"/>
    </row>
    <row r="47" s="1" customFormat="1" spans="2:20">
      <c r="B47" s="5"/>
      <c r="C47" s="6"/>
      <c r="D47" s="7"/>
      <c r="E47" s="6"/>
      <c r="F47" s="6"/>
      <c r="G47" s="6"/>
      <c r="H47" s="6"/>
      <c r="I47" s="7"/>
      <c r="J47" s="6" t="s">
        <v>77</v>
      </c>
      <c r="K47" s="53">
        <f>+I18</f>
        <v>51</v>
      </c>
      <c r="L47" s="53">
        <f>+H18</f>
        <v>43724.158048</v>
      </c>
      <c r="M47" s="73">
        <f>+J18</f>
        <v>215.01</v>
      </c>
      <c r="N47" s="70">
        <f>+L18</f>
        <v>34.64</v>
      </c>
      <c r="O47" s="70">
        <f t="shared" si="20"/>
        <v>180.37</v>
      </c>
      <c r="P47" s="138"/>
      <c r="Q47" s="166">
        <f>34.64+N58</f>
        <v>38.64</v>
      </c>
      <c r="R47" s="167">
        <f>+M47-Q47</f>
        <v>176.37</v>
      </c>
      <c r="S47" s="11"/>
      <c r="T47" s="11"/>
    </row>
    <row r="48" s="1" customFormat="1" spans="2:20">
      <c r="B48" s="5"/>
      <c r="C48" s="6"/>
      <c r="D48" s="7"/>
      <c r="E48" s="6"/>
      <c r="F48" s="6"/>
      <c r="G48" s="6"/>
      <c r="H48" s="6"/>
      <c r="I48" s="7"/>
      <c r="J48" s="6" t="s">
        <v>78</v>
      </c>
      <c r="K48" s="53">
        <f t="shared" ref="K48:O48" si="21">+K46+K47</f>
        <v>971</v>
      </c>
      <c r="L48" s="53">
        <f t="shared" si="21"/>
        <v>212233.440265</v>
      </c>
      <c r="M48" s="53">
        <f t="shared" si="21"/>
        <v>1043.46</v>
      </c>
      <c r="N48" s="72">
        <f t="shared" si="21"/>
        <v>92.27</v>
      </c>
      <c r="O48" s="72">
        <f t="shared" si="21"/>
        <v>951.19</v>
      </c>
      <c r="P48" s="138"/>
      <c r="Q48" s="166">
        <f>+Q46+Q47</f>
        <v>104.05</v>
      </c>
      <c r="R48" s="166">
        <f>+R46+R47</f>
        <v>939.41</v>
      </c>
      <c r="S48" s="11"/>
      <c r="T48" s="11"/>
    </row>
    <row r="49" s="1" customFormat="1" spans="2:20">
      <c r="B49" s="5"/>
      <c r="C49" s="6"/>
      <c r="D49" s="7"/>
      <c r="E49" s="6"/>
      <c r="F49" s="6"/>
      <c r="G49" s="6"/>
      <c r="H49" s="6"/>
      <c r="I49" s="7"/>
      <c r="J49" s="6"/>
      <c r="K49" s="53"/>
      <c r="L49" s="53"/>
      <c r="M49" s="73"/>
      <c r="N49" s="70"/>
      <c r="O49" s="70"/>
      <c r="P49" s="138"/>
      <c r="Q49" s="166"/>
      <c r="R49" s="167"/>
      <c r="S49" s="11"/>
      <c r="T49" s="11"/>
    </row>
    <row r="50" s="1" customFormat="1" spans="2:20">
      <c r="B50" s="5"/>
      <c r="C50" s="6"/>
      <c r="D50" s="7"/>
      <c r="E50" s="6"/>
      <c r="F50" s="6"/>
      <c r="G50" s="6"/>
      <c r="H50" s="6"/>
      <c r="I50" s="7"/>
      <c r="J50" s="6" t="s">
        <v>79</v>
      </c>
      <c r="K50" s="53">
        <f>+N18</f>
        <v>1023</v>
      </c>
      <c r="L50" s="53">
        <f>+M18</f>
        <v>130631.56</v>
      </c>
      <c r="M50" s="73">
        <f>+O18</f>
        <v>203.42</v>
      </c>
      <c r="N50" s="70">
        <f>+Q18</f>
        <v>97.73</v>
      </c>
      <c r="O50" s="70">
        <f t="shared" si="20"/>
        <v>105.69</v>
      </c>
      <c r="P50" s="138"/>
      <c r="Q50" s="166">
        <f>97.73+1.17</f>
        <v>98.9</v>
      </c>
      <c r="R50" s="167">
        <f>+M50-Q50</f>
        <v>104.52</v>
      </c>
      <c r="S50" s="11"/>
      <c r="T50" s="11"/>
    </row>
    <row r="51" s="1" customFormat="1" spans="2:20">
      <c r="B51" s="5"/>
      <c r="C51" s="6"/>
      <c r="D51" s="7"/>
      <c r="E51" s="6"/>
      <c r="F51" s="6"/>
      <c r="G51" s="6"/>
      <c r="H51" s="6"/>
      <c r="I51" s="7"/>
      <c r="J51" s="6"/>
      <c r="K51" s="53"/>
      <c r="L51" s="53"/>
      <c r="M51" s="73"/>
      <c r="N51" s="70"/>
      <c r="O51" s="70"/>
      <c r="P51" s="138"/>
      <c r="Q51" s="166"/>
      <c r="R51" s="167"/>
      <c r="S51" s="11"/>
      <c r="T51" s="11"/>
    </row>
    <row r="52" s="1" customFormat="1" spans="2:20">
      <c r="B52" s="5"/>
      <c r="C52" s="6"/>
      <c r="D52" s="7"/>
      <c r="E52" s="6"/>
      <c r="F52" s="6"/>
      <c r="G52" s="6"/>
      <c r="H52" s="6"/>
      <c r="I52" s="7"/>
      <c r="J52" s="6" t="s">
        <v>61</v>
      </c>
      <c r="K52" s="53">
        <f t="shared" ref="K52:O52" si="22">+K50+K48</f>
        <v>1994</v>
      </c>
      <c r="L52" s="53">
        <f t="shared" si="22"/>
        <v>342865.000265</v>
      </c>
      <c r="M52" s="53">
        <f t="shared" si="22"/>
        <v>1246.88</v>
      </c>
      <c r="N52" s="72">
        <f t="shared" si="22"/>
        <v>190</v>
      </c>
      <c r="O52" s="72">
        <f t="shared" si="22"/>
        <v>1056.88</v>
      </c>
      <c r="P52" s="138"/>
      <c r="Q52" s="166">
        <f>+Q48+Q50</f>
        <v>202.95</v>
      </c>
      <c r="R52" s="166">
        <f>+R48+R50</f>
        <v>1043.93</v>
      </c>
      <c r="S52" s="11"/>
      <c r="T52" s="11"/>
    </row>
    <row r="56" ht="14.25" spans="12:16">
      <c r="L56" s="56" t="s">
        <v>72</v>
      </c>
      <c r="M56" s="56" t="s">
        <v>82</v>
      </c>
      <c r="N56" s="56"/>
      <c r="O56" s="56" t="s">
        <v>79</v>
      </c>
      <c r="P56" s="56" t="s">
        <v>61</v>
      </c>
    </row>
    <row r="57" ht="14.25" spans="12:16">
      <c r="L57" s="56"/>
      <c r="M57" s="57">
        <v>500</v>
      </c>
      <c r="N57" s="57" t="s">
        <v>83</v>
      </c>
      <c r="O57" s="56"/>
      <c r="P57" s="56"/>
    </row>
    <row r="58" ht="14.25" spans="12:16">
      <c r="L58" s="58" t="s">
        <v>84</v>
      </c>
      <c r="M58" s="57">
        <v>7.78</v>
      </c>
      <c r="N58" s="57">
        <v>4</v>
      </c>
      <c r="O58" s="57">
        <v>1.17</v>
      </c>
      <c r="P58" s="57">
        <v>12.95</v>
      </c>
    </row>
    <row r="59" ht="14.25" spans="12:16">
      <c r="L59" s="58" t="s">
        <v>85</v>
      </c>
      <c r="M59" s="57"/>
      <c r="N59" s="57"/>
      <c r="O59" s="57">
        <v>0.14</v>
      </c>
      <c r="P59" s="57">
        <v>0.14</v>
      </c>
    </row>
    <row r="60" ht="14.25" spans="12:16">
      <c r="L60" s="58" t="s">
        <v>86</v>
      </c>
      <c r="M60" s="57">
        <v>14.29</v>
      </c>
      <c r="N60" s="57"/>
      <c r="O60" s="57">
        <v>0.4</v>
      </c>
      <c r="P60" s="57">
        <v>14.69</v>
      </c>
    </row>
  </sheetData>
  <mergeCells count="28">
    <mergeCell ref="A1:U1"/>
    <mergeCell ref="C2:L2"/>
    <mergeCell ref="M2:Q2"/>
    <mergeCell ref="A18:B18"/>
    <mergeCell ref="C19:D19"/>
    <mergeCell ref="E19:F19"/>
    <mergeCell ref="G19:H19"/>
    <mergeCell ref="I19:J19"/>
    <mergeCell ref="K19:L19"/>
    <mergeCell ref="M19:N19"/>
    <mergeCell ref="A22:U22"/>
    <mergeCell ref="C23:L23"/>
    <mergeCell ref="M23:Q23"/>
    <mergeCell ref="M56:N56"/>
    <mergeCell ref="A2:A3"/>
    <mergeCell ref="B2:B3"/>
    <mergeCell ref="B23:B24"/>
    <mergeCell ref="L56:L57"/>
    <mergeCell ref="O56:O57"/>
    <mergeCell ref="P56:P57"/>
    <mergeCell ref="R2:R3"/>
    <mergeCell ref="R23:R24"/>
    <mergeCell ref="S2:S3"/>
    <mergeCell ref="S23:S24"/>
    <mergeCell ref="T2:T3"/>
    <mergeCell ref="T23:T24"/>
    <mergeCell ref="U2:U3"/>
    <mergeCell ref="U23:U2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V66"/>
  <sheetViews>
    <sheetView zoomScale="55" zoomScaleNormal="55" workbookViewId="0">
      <pane xSplit="2" ySplit="3" topLeftCell="I23" activePane="bottomRight" state="frozen"/>
      <selection/>
      <selection pane="topRight"/>
      <selection pane="bottomLeft"/>
      <selection pane="bottomRight" activeCell="L52" sqref="L52"/>
    </sheetView>
  </sheetViews>
  <sheetFormatPr defaultColWidth="8.88333333333333" defaultRowHeight="22.5"/>
  <cols>
    <col min="1" max="1" width="11.1333333333333" style="1" customWidth="1"/>
    <col min="2" max="2" width="47.2666666666667" style="1" customWidth="1"/>
    <col min="3" max="3" width="28.5666666666667" style="6" customWidth="1"/>
    <col min="4" max="4" width="15.8083333333333" style="86" customWidth="1"/>
    <col min="5" max="5" width="20.2583333333333" style="6" customWidth="1"/>
    <col min="6" max="6" width="17.2666666666667" style="6" customWidth="1"/>
    <col min="7" max="7" width="16.1333333333333" style="6" customWidth="1"/>
    <col min="8" max="8" width="22.725" style="6" customWidth="1"/>
    <col min="9" max="9" width="20.45" style="86" customWidth="1"/>
    <col min="10" max="10" width="18.1333333333333" style="6" customWidth="1"/>
    <col min="11" max="11" width="20.225" style="6" customWidth="1"/>
    <col min="12" max="12" width="21.3666666666667" style="6" customWidth="1"/>
    <col min="13" max="13" width="20.2166666666667" style="8" customWidth="1"/>
    <col min="14" max="14" width="17.25" style="87" customWidth="1"/>
    <col min="15" max="15" width="19.3833333333333" style="8" customWidth="1"/>
    <col min="16" max="16" width="20.675" style="8" customWidth="1"/>
    <col min="17" max="17" width="21.125" style="8" customWidth="1"/>
    <col min="18" max="18" width="21.3083333333333" style="11" customWidth="1"/>
    <col min="19" max="19" width="16.1333333333333" style="11" customWidth="1"/>
    <col min="20" max="20" width="21.3083333333333" style="11" customWidth="1"/>
    <col min="21" max="21" width="32.9" style="1" customWidth="1"/>
    <col min="22" max="22" width="19" style="2" customWidth="1"/>
    <col min="23" max="23" width="18.175" style="2" customWidth="1"/>
    <col min="24" max="24" width="27.0416666666667" style="2" customWidth="1"/>
    <col min="25" max="25" width="14.15" style="2" customWidth="1"/>
    <col min="26" max="26" width="8.88333333333333" style="2" customWidth="1"/>
    <col min="27" max="27" width="10.75" style="2"/>
    <col min="28" max="28" width="8.88333333333333" style="1"/>
    <col min="29" max="30" width="10.6333333333333" style="1"/>
    <col min="31" max="31" width="9.13333333333333" style="1"/>
    <col min="32" max="33" width="8.88333333333333" style="1"/>
    <col min="34" max="34" width="10.6333333333333" style="1"/>
    <col min="35" max="35" width="9.13333333333333" style="1"/>
    <col min="36" max="37" width="10.6333333333333" style="1"/>
    <col min="38" max="43" width="8.88333333333333" style="1"/>
    <col min="44" max="44" width="14" style="1"/>
    <col min="45" max="45" width="8.88333333333333" style="1"/>
    <col min="46" max="46" width="10.6333333333333" style="1"/>
    <col min="47" max="250" width="8.88333333333333" style="1"/>
    <col min="251" max="16384" width="8.88333333333333" style="88"/>
  </cols>
  <sheetData>
    <row r="1" s="1" customFormat="1" ht="93" hidden="1" customHeight="1" spans="1:27">
      <c r="A1" s="89" t="s">
        <v>96</v>
      </c>
      <c r="B1" s="90"/>
      <c r="C1" s="91"/>
      <c r="D1" s="92"/>
      <c r="E1" s="91"/>
      <c r="F1" s="91"/>
      <c r="G1" s="91"/>
      <c r="H1" s="91"/>
      <c r="I1" s="92"/>
      <c r="J1" s="91"/>
      <c r="K1" s="91"/>
      <c r="L1" s="91"/>
      <c r="M1" s="91"/>
      <c r="N1" s="92"/>
      <c r="O1" s="91"/>
      <c r="P1" s="91"/>
      <c r="Q1" s="91"/>
      <c r="R1" s="91"/>
      <c r="S1" s="91"/>
      <c r="T1" s="91"/>
      <c r="U1" s="90"/>
      <c r="V1" s="2"/>
      <c r="W1" s="2"/>
      <c r="X1" s="2"/>
      <c r="Y1" s="2"/>
      <c r="Z1" s="2"/>
      <c r="AA1" s="2"/>
    </row>
    <row r="2" s="1" customFormat="1" ht="80" hidden="1" customHeight="1" spans="1:27">
      <c r="A2" s="93" t="s">
        <v>2</v>
      </c>
      <c r="B2" s="93" t="s">
        <v>93</v>
      </c>
      <c r="C2" s="94" t="s">
        <v>4</v>
      </c>
      <c r="D2" s="95"/>
      <c r="E2" s="94"/>
      <c r="F2" s="94"/>
      <c r="G2" s="94"/>
      <c r="H2" s="94"/>
      <c r="I2" s="95"/>
      <c r="J2" s="94"/>
      <c r="K2" s="94"/>
      <c r="L2" s="94"/>
      <c r="M2" s="115" t="s">
        <v>5</v>
      </c>
      <c r="N2" s="116"/>
      <c r="O2" s="117"/>
      <c r="P2" s="117"/>
      <c r="Q2" s="129"/>
      <c r="R2" s="130" t="s">
        <v>64</v>
      </c>
      <c r="S2" s="130" t="s">
        <v>65</v>
      </c>
      <c r="T2" s="130" t="s">
        <v>8</v>
      </c>
      <c r="U2" s="131" t="s">
        <v>9</v>
      </c>
      <c r="V2" s="2"/>
      <c r="W2" s="2"/>
      <c r="X2" s="2"/>
      <c r="Y2" s="2"/>
      <c r="Z2" s="2"/>
      <c r="AA2" s="2"/>
    </row>
    <row r="3" s="1" customFormat="1" ht="85" hidden="1" customHeight="1" spans="1:27">
      <c r="A3" s="93"/>
      <c r="B3" s="93"/>
      <c r="C3" s="96" t="s">
        <v>10</v>
      </c>
      <c r="D3" s="97" t="s">
        <v>67</v>
      </c>
      <c r="E3" s="96" t="s">
        <v>11</v>
      </c>
      <c r="F3" s="96" t="s">
        <v>12</v>
      </c>
      <c r="G3" s="96" t="s">
        <v>13</v>
      </c>
      <c r="H3" s="96" t="s">
        <v>14</v>
      </c>
      <c r="I3" s="97" t="s">
        <v>67</v>
      </c>
      <c r="J3" s="96" t="s">
        <v>11</v>
      </c>
      <c r="K3" s="96" t="s">
        <v>12</v>
      </c>
      <c r="L3" s="96" t="s">
        <v>13</v>
      </c>
      <c r="M3" s="118" t="s">
        <v>15</v>
      </c>
      <c r="N3" s="97" t="s">
        <v>67</v>
      </c>
      <c r="O3" s="118" t="s">
        <v>11</v>
      </c>
      <c r="P3" s="118" t="s">
        <v>12</v>
      </c>
      <c r="Q3" s="118" t="s">
        <v>13</v>
      </c>
      <c r="R3" s="96"/>
      <c r="S3" s="96"/>
      <c r="T3" s="96"/>
      <c r="U3" s="132"/>
      <c r="V3" s="2"/>
      <c r="W3" s="2"/>
      <c r="X3" s="2"/>
      <c r="Y3" s="2"/>
      <c r="Z3" s="2"/>
      <c r="AA3" s="2"/>
    </row>
    <row r="4" s="1" customFormat="1" ht="45" hidden="1" customHeight="1" spans="1:21">
      <c r="A4" s="98">
        <v>1</v>
      </c>
      <c r="B4" s="99" t="s">
        <v>59</v>
      </c>
      <c r="C4" s="100">
        <v>500</v>
      </c>
      <c r="D4" s="101">
        <v>1</v>
      </c>
      <c r="E4" s="100">
        <v>2.5</v>
      </c>
      <c r="F4" s="100">
        <v>2.5</v>
      </c>
      <c r="G4" s="102">
        <v>0</v>
      </c>
      <c r="H4" s="100">
        <v>0</v>
      </c>
      <c r="I4" s="100">
        <v>0</v>
      </c>
      <c r="J4" s="100">
        <v>0</v>
      </c>
      <c r="K4" s="100">
        <v>0</v>
      </c>
      <c r="L4" s="100">
        <v>0</v>
      </c>
      <c r="M4" s="100">
        <v>0</v>
      </c>
      <c r="N4" s="100">
        <v>0</v>
      </c>
      <c r="O4" s="100">
        <v>0</v>
      </c>
      <c r="P4" s="102">
        <v>0</v>
      </c>
      <c r="Q4" s="100">
        <v>0</v>
      </c>
      <c r="R4" s="100">
        <f t="shared" ref="R4:R21" si="0">E4+J4+O4</f>
        <v>2.5</v>
      </c>
      <c r="S4" s="100">
        <f t="shared" ref="S4:S21" si="1">F4+K4+P4</f>
        <v>2.5</v>
      </c>
      <c r="T4" s="102">
        <f t="shared" ref="T4:T21" si="2">G4+L4+Q4</f>
        <v>0</v>
      </c>
      <c r="U4" s="98"/>
    </row>
    <row r="5" s="1" customFormat="1" ht="45" hidden="1" customHeight="1" spans="1:27">
      <c r="A5" s="98">
        <v>2</v>
      </c>
      <c r="B5" s="99" t="s">
        <v>58</v>
      </c>
      <c r="C5" s="100">
        <v>590</v>
      </c>
      <c r="D5" s="101">
        <v>3</v>
      </c>
      <c r="E5" s="100">
        <v>2.89</v>
      </c>
      <c r="F5" s="100">
        <v>2.77</v>
      </c>
      <c r="G5" s="102">
        <v>0.12</v>
      </c>
      <c r="H5" s="100">
        <v>0</v>
      </c>
      <c r="I5" s="100">
        <v>0</v>
      </c>
      <c r="J5" s="100">
        <v>0</v>
      </c>
      <c r="K5" s="100">
        <v>0</v>
      </c>
      <c r="L5" s="100">
        <v>0</v>
      </c>
      <c r="M5" s="100">
        <v>0</v>
      </c>
      <c r="N5" s="100">
        <v>0</v>
      </c>
      <c r="O5" s="100">
        <v>0</v>
      </c>
      <c r="P5" s="102">
        <v>0</v>
      </c>
      <c r="Q5" s="100">
        <v>0</v>
      </c>
      <c r="R5" s="100">
        <f t="shared" si="0"/>
        <v>2.89</v>
      </c>
      <c r="S5" s="100">
        <f t="shared" si="1"/>
        <v>2.77</v>
      </c>
      <c r="T5" s="102">
        <f t="shared" si="2"/>
        <v>0.12</v>
      </c>
      <c r="U5" s="98"/>
      <c r="V5" s="2"/>
      <c r="W5" s="2"/>
      <c r="X5" s="2"/>
      <c r="Z5" s="2"/>
      <c r="AA5" s="2"/>
    </row>
    <row r="6" s="1" customFormat="1" ht="45" hidden="1" customHeight="1" spans="1:27">
      <c r="A6" s="98">
        <v>3</v>
      </c>
      <c r="B6" s="99" t="s">
        <v>44</v>
      </c>
      <c r="C6" s="100">
        <v>4510.5982</v>
      </c>
      <c r="D6" s="101">
        <v>17</v>
      </c>
      <c r="E6" s="100">
        <v>21.56</v>
      </c>
      <c r="F6" s="100">
        <v>21.56</v>
      </c>
      <c r="G6" s="102">
        <v>0</v>
      </c>
      <c r="H6" s="100">
        <v>1800</v>
      </c>
      <c r="I6" s="100">
        <v>2</v>
      </c>
      <c r="J6" s="100">
        <v>6.48</v>
      </c>
      <c r="K6" s="100">
        <v>6.48</v>
      </c>
      <c r="L6" s="100">
        <v>0</v>
      </c>
      <c r="M6" s="100">
        <v>0</v>
      </c>
      <c r="N6" s="100">
        <v>0</v>
      </c>
      <c r="O6" s="100">
        <v>0</v>
      </c>
      <c r="P6" s="102">
        <v>0</v>
      </c>
      <c r="Q6" s="100">
        <v>0</v>
      </c>
      <c r="R6" s="100">
        <f t="shared" si="0"/>
        <v>28.04</v>
      </c>
      <c r="S6" s="100">
        <f t="shared" si="1"/>
        <v>28.04</v>
      </c>
      <c r="T6" s="102">
        <f t="shared" si="2"/>
        <v>0</v>
      </c>
      <c r="U6" s="98"/>
      <c r="V6" s="2"/>
      <c r="W6" s="2"/>
      <c r="X6" s="2"/>
      <c r="Z6" s="2"/>
      <c r="AA6" s="2"/>
    </row>
    <row r="7" s="1" customFormat="1" ht="45" hidden="1" customHeight="1" spans="1:27">
      <c r="A7" s="98">
        <v>4</v>
      </c>
      <c r="B7" s="99" t="s">
        <v>52</v>
      </c>
      <c r="C7" s="100">
        <v>26395.01296</v>
      </c>
      <c r="D7" s="101">
        <v>122</v>
      </c>
      <c r="E7" s="100">
        <v>131.94</v>
      </c>
      <c r="F7" s="100">
        <v>124.39</v>
      </c>
      <c r="G7" s="102">
        <v>7.55</v>
      </c>
      <c r="H7" s="100">
        <v>6980</v>
      </c>
      <c r="I7" s="100">
        <v>8</v>
      </c>
      <c r="J7" s="100">
        <v>34.89</v>
      </c>
      <c r="K7" s="100">
        <v>30.04</v>
      </c>
      <c r="L7" s="100">
        <v>4.85</v>
      </c>
      <c r="M7" s="100">
        <v>16662.3</v>
      </c>
      <c r="N7" s="100">
        <v>130</v>
      </c>
      <c r="O7" s="100">
        <v>31.3</v>
      </c>
      <c r="P7" s="102">
        <v>31.3</v>
      </c>
      <c r="Q7" s="100">
        <v>0</v>
      </c>
      <c r="R7" s="100">
        <f t="shared" si="0"/>
        <v>198.13</v>
      </c>
      <c r="S7" s="100">
        <f t="shared" si="1"/>
        <v>185.73</v>
      </c>
      <c r="T7" s="102">
        <f t="shared" si="2"/>
        <v>12.4</v>
      </c>
      <c r="U7" s="98"/>
      <c r="V7" s="2"/>
      <c r="W7" s="2"/>
      <c r="X7" s="2"/>
      <c r="Z7" s="2"/>
      <c r="AA7" s="2"/>
    </row>
    <row r="8" s="1" customFormat="1" ht="45" hidden="1" customHeight="1" spans="1:27">
      <c r="A8" s="98">
        <v>5</v>
      </c>
      <c r="B8" s="99" t="s">
        <v>48</v>
      </c>
      <c r="C8" s="100">
        <v>13577.29</v>
      </c>
      <c r="D8" s="101">
        <v>62</v>
      </c>
      <c r="E8" s="100">
        <v>66.2</v>
      </c>
      <c r="F8" s="100">
        <v>65.71</v>
      </c>
      <c r="G8" s="102">
        <v>0.49</v>
      </c>
      <c r="H8" s="100">
        <v>3899</v>
      </c>
      <c r="I8" s="100">
        <v>4</v>
      </c>
      <c r="J8" s="100">
        <v>19.46</v>
      </c>
      <c r="K8" s="100">
        <v>19.46</v>
      </c>
      <c r="L8" s="100">
        <v>0</v>
      </c>
      <c r="M8" s="100">
        <v>0</v>
      </c>
      <c r="N8" s="100">
        <v>0</v>
      </c>
      <c r="O8" s="100">
        <v>0</v>
      </c>
      <c r="P8" s="102">
        <v>0</v>
      </c>
      <c r="Q8" s="100">
        <v>0</v>
      </c>
      <c r="R8" s="100">
        <f t="shared" si="0"/>
        <v>85.66</v>
      </c>
      <c r="S8" s="100">
        <f t="shared" si="1"/>
        <v>85.17</v>
      </c>
      <c r="T8" s="102">
        <f t="shared" si="2"/>
        <v>0.49</v>
      </c>
      <c r="U8" s="98"/>
      <c r="V8" s="99"/>
      <c r="W8" s="99"/>
      <c r="X8" s="2"/>
      <c r="Z8" s="2"/>
      <c r="AA8" s="2"/>
    </row>
    <row r="9" s="1" customFormat="1" ht="45" hidden="1" customHeight="1" spans="1:27">
      <c r="A9" s="98">
        <v>6</v>
      </c>
      <c r="B9" s="99" t="s">
        <v>21</v>
      </c>
      <c r="C9" s="100">
        <v>30551.8</v>
      </c>
      <c r="D9" s="101">
        <v>119</v>
      </c>
      <c r="E9" s="100">
        <v>150.9</v>
      </c>
      <c r="F9" s="100">
        <v>148.41</v>
      </c>
      <c r="G9" s="102">
        <v>2.49</v>
      </c>
      <c r="H9" s="100">
        <v>830</v>
      </c>
      <c r="I9" s="100">
        <v>1</v>
      </c>
      <c r="J9" s="100">
        <v>3.99</v>
      </c>
      <c r="K9" s="100">
        <v>3.99</v>
      </c>
      <c r="L9" s="100">
        <v>0</v>
      </c>
      <c r="M9" s="100">
        <v>13267.4</v>
      </c>
      <c r="N9" s="100">
        <v>130</v>
      </c>
      <c r="O9" s="100">
        <v>22.2</v>
      </c>
      <c r="P9" s="102">
        <v>21.65</v>
      </c>
      <c r="Q9" s="100">
        <v>0.55</v>
      </c>
      <c r="R9" s="100">
        <f t="shared" si="0"/>
        <v>177.09</v>
      </c>
      <c r="S9" s="100">
        <f t="shared" si="1"/>
        <v>174.05</v>
      </c>
      <c r="T9" s="102">
        <f t="shared" si="2"/>
        <v>3.04</v>
      </c>
      <c r="U9" s="98"/>
      <c r="V9" s="2"/>
      <c r="W9" s="2"/>
      <c r="X9" s="2"/>
      <c r="Z9" s="2"/>
      <c r="AA9" s="2"/>
    </row>
    <row r="10" s="1" customFormat="1" ht="45" hidden="1" customHeight="1" spans="1:27">
      <c r="A10" s="98">
        <v>7</v>
      </c>
      <c r="B10" s="99" t="s">
        <v>56</v>
      </c>
      <c r="C10" s="100">
        <v>11160</v>
      </c>
      <c r="D10" s="101">
        <v>53</v>
      </c>
      <c r="E10" s="100">
        <v>55.8</v>
      </c>
      <c r="F10" s="100">
        <v>55.8</v>
      </c>
      <c r="G10" s="102">
        <v>0</v>
      </c>
      <c r="H10" s="100">
        <v>1780</v>
      </c>
      <c r="I10" s="100">
        <v>2</v>
      </c>
      <c r="J10" s="100">
        <v>8.9</v>
      </c>
      <c r="K10" s="100">
        <v>8.9</v>
      </c>
      <c r="L10" s="100">
        <v>0</v>
      </c>
      <c r="M10" s="100">
        <v>0</v>
      </c>
      <c r="N10" s="100">
        <v>0</v>
      </c>
      <c r="O10" s="100">
        <v>0</v>
      </c>
      <c r="P10" s="102">
        <v>0</v>
      </c>
      <c r="Q10" s="100">
        <v>0</v>
      </c>
      <c r="R10" s="100">
        <f t="shared" si="0"/>
        <v>64.7</v>
      </c>
      <c r="S10" s="100">
        <f t="shared" si="1"/>
        <v>64.7</v>
      </c>
      <c r="T10" s="102">
        <f t="shared" si="2"/>
        <v>0</v>
      </c>
      <c r="U10" s="98"/>
      <c r="V10" s="2"/>
      <c r="W10" s="2"/>
      <c r="X10" s="2"/>
      <c r="Z10" s="2"/>
      <c r="AA10" s="2"/>
    </row>
    <row r="11" s="1" customFormat="1" ht="45" hidden="1" customHeight="1" spans="1:27">
      <c r="A11" s="98">
        <v>8</v>
      </c>
      <c r="B11" s="99" t="s">
        <v>25</v>
      </c>
      <c r="C11" s="100">
        <v>7680.8</v>
      </c>
      <c r="D11" s="101">
        <v>31</v>
      </c>
      <c r="E11" s="100">
        <v>37.91</v>
      </c>
      <c r="F11" s="100">
        <v>37.11</v>
      </c>
      <c r="G11" s="102">
        <v>0.8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2">
        <v>0</v>
      </c>
      <c r="Q11" s="100">
        <v>0</v>
      </c>
      <c r="R11" s="100">
        <f t="shared" si="0"/>
        <v>37.91</v>
      </c>
      <c r="S11" s="100">
        <f t="shared" si="1"/>
        <v>37.11</v>
      </c>
      <c r="T11" s="102">
        <f t="shared" si="2"/>
        <v>0.8</v>
      </c>
      <c r="U11" s="98"/>
      <c r="V11" s="2"/>
      <c r="W11" s="2"/>
      <c r="X11" s="2"/>
      <c r="Z11" s="2"/>
      <c r="AA11" s="2"/>
    </row>
    <row r="12" s="1" customFormat="1" ht="45" hidden="1" customHeight="1" spans="1:27">
      <c r="A12" s="98">
        <v>9</v>
      </c>
      <c r="B12" s="99" t="s">
        <v>24</v>
      </c>
      <c r="C12" s="100">
        <v>17799.4</v>
      </c>
      <c r="D12" s="101">
        <v>70</v>
      </c>
      <c r="E12" s="100">
        <v>86.47</v>
      </c>
      <c r="F12" s="100">
        <v>85.07</v>
      </c>
      <c r="G12" s="102">
        <v>1.4</v>
      </c>
      <c r="H12" s="100">
        <v>11080</v>
      </c>
      <c r="I12" s="100">
        <v>13</v>
      </c>
      <c r="J12" s="100">
        <v>53.14</v>
      </c>
      <c r="K12" s="100">
        <v>41.92</v>
      </c>
      <c r="L12" s="100">
        <v>11.22</v>
      </c>
      <c r="M12" s="100">
        <v>24262.35</v>
      </c>
      <c r="N12" s="100">
        <v>308</v>
      </c>
      <c r="O12" s="100">
        <v>45.77</v>
      </c>
      <c r="P12" s="102">
        <v>43.06</v>
      </c>
      <c r="Q12" s="100">
        <v>2.71</v>
      </c>
      <c r="R12" s="100">
        <f t="shared" si="0"/>
        <v>185.38</v>
      </c>
      <c r="S12" s="100">
        <f t="shared" si="1"/>
        <v>170.05</v>
      </c>
      <c r="T12" s="102">
        <f t="shared" si="2"/>
        <v>15.33</v>
      </c>
      <c r="U12" s="98"/>
      <c r="V12" s="2"/>
      <c r="W12" s="2"/>
      <c r="X12" s="2"/>
      <c r="Z12" s="2"/>
      <c r="AA12" s="2"/>
    </row>
    <row r="13" s="1" customFormat="1" ht="45" hidden="1" customHeight="1" spans="1:27">
      <c r="A13" s="98">
        <v>10</v>
      </c>
      <c r="B13" s="99" t="s">
        <v>57</v>
      </c>
      <c r="C13" s="100">
        <v>4650</v>
      </c>
      <c r="D13" s="101">
        <v>32</v>
      </c>
      <c r="E13" s="100">
        <v>22.98</v>
      </c>
      <c r="F13" s="100">
        <v>22.9</v>
      </c>
      <c r="G13" s="102">
        <v>0.08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2">
        <v>0</v>
      </c>
      <c r="Q13" s="100">
        <v>0</v>
      </c>
      <c r="R13" s="100">
        <f t="shared" si="0"/>
        <v>22.98</v>
      </c>
      <c r="S13" s="100">
        <f t="shared" si="1"/>
        <v>22.9</v>
      </c>
      <c r="T13" s="102">
        <f t="shared" si="2"/>
        <v>0.08</v>
      </c>
      <c r="U13" s="98"/>
      <c r="V13" s="2"/>
      <c r="W13" s="2"/>
      <c r="X13" s="2"/>
      <c r="Z13" s="2"/>
      <c r="AA13" s="2"/>
    </row>
    <row r="14" s="1" customFormat="1" ht="45" hidden="1" customHeight="1" spans="1:27">
      <c r="A14" s="98">
        <v>11</v>
      </c>
      <c r="B14" s="99" t="s">
        <v>23</v>
      </c>
      <c r="C14" s="100">
        <v>75251.4561</v>
      </c>
      <c r="D14" s="101">
        <v>220</v>
      </c>
      <c r="E14" s="100">
        <v>375.66</v>
      </c>
      <c r="F14" s="100">
        <v>366.6</v>
      </c>
      <c r="G14" s="102">
        <v>9.06</v>
      </c>
      <c r="H14" s="100">
        <v>10986</v>
      </c>
      <c r="I14" s="100">
        <v>13</v>
      </c>
      <c r="J14" s="100">
        <v>54.57</v>
      </c>
      <c r="K14" s="100">
        <v>41.15</v>
      </c>
      <c r="L14" s="100">
        <v>13.42</v>
      </c>
      <c r="M14" s="100">
        <v>19907.7</v>
      </c>
      <c r="N14" s="100">
        <v>177</v>
      </c>
      <c r="O14" s="100">
        <v>39.11</v>
      </c>
      <c r="P14" s="102">
        <v>37.86</v>
      </c>
      <c r="Q14" s="100">
        <v>1.25</v>
      </c>
      <c r="R14" s="100">
        <f t="shared" si="0"/>
        <v>469.34</v>
      </c>
      <c r="S14" s="100">
        <f t="shared" si="1"/>
        <v>445.61</v>
      </c>
      <c r="T14" s="102">
        <f t="shared" si="2"/>
        <v>23.73</v>
      </c>
      <c r="U14" s="98"/>
      <c r="V14" s="2"/>
      <c r="W14" s="2"/>
      <c r="X14" s="2"/>
      <c r="Z14" s="2"/>
      <c r="AA14" s="2"/>
    </row>
    <row r="15" s="1" customFormat="1" ht="45" hidden="1" customHeight="1" spans="1:27">
      <c r="A15" s="98">
        <v>12</v>
      </c>
      <c r="B15" s="99" t="s">
        <v>38</v>
      </c>
      <c r="C15" s="100">
        <v>2520</v>
      </c>
      <c r="D15" s="101">
        <v>8</v>
      </c>
      <c r="E15" s="100">
        <v>10</v>
      </c>
      <c r="F15" s="100">
        <v>7.51</v>
      </c>
      <c r="G15" s="102">
        <v>2.49</v>
      </c>
      <c r="H15" s="100">
        <v>2800</v>
      </c>
      <c r="I15" s="100">
        <v>3</v>
      </c>
      <c r="J15" s="100">
        <v>11.56</v>
      </c>
      <c r="K15" s="100">
        <v>7.57</v>
      </c>
      <c r="L15" s="100">
        <v>3.99</v>
      </c>
      <c r="M15" s="100">
        <v>0</v>
      </c>
      <c r="N15" s="100">
        <v>0</v>
      </c>
      <c r="O15" s="100">
        <v>0</v>
      </c>
      <c r="P15" s="102">
        <v>0</v>
      </c>
      <c r="Q15" s="100">
        <v>0</v>
      </c>
      <c r="R15" s="100">
        <f t="shared" si="0"/>
        <v>21.56</v>
      </c>
      <c r="S15" s="100">
        <f t="shared" si="1"/>
        <v>15.08</v>
      </c>
      <c r="T15" s="102">
        <f t="shared" si="2"/>
        <v>6.48</v>
      </c>
      <c r="U15" s="98"/>
      <c r="V15" s="2"/>
      <c r="W15" s="2"/>
      <c r="X15" s="2"/>
      <c r="Z15" s="2"/>
      <c r="AA15" s="2"/>
    </row>
    <row r="16" s="1" customFormat="1" ht="45" hidden="1" customHeight="1" spans="1:27">
      <c r="A16" s="98">
        <v>13</v>
      </c>
      <c r="B16" s="99" t="s">
        <v>18</v>
      </c>
      <c r="C16" s="100">
        <v>32516</v>
      </c>
      <c r="D16" s="101">
        <v>110</v>
      </c>
      <c r="E16" s="100">
        <v>159.41</v>
      </c>
      <c r="F16" s="100">
        <v>120.1</v>
      </c>
      <c r="G16" s="102">
        <v>39.31</v>
      </c>
      <c r="H16" s="100">
        <v>9536</v>
      </c>
      <c r="I16" s="100">
        <v>11</v>
      </c>
      <c r="J16" s="100">
        <v>46.56</v>
      </c>
      <c r="K16" s="100">
        <v>38.75</v>
      </c>
      <c r="L16" s="100">
        <v>7.81</v>
      </c>
      <c r="M16" s="100">
        <v>27108.8</v>
      </c>
      <c r="N16" s="100">
        <v>250</v>
      </c>
      <c r="O16" s="100">
        <v>53.92</v>
      </c>
      <c r="P16" s="102">
        <v>45.47</v>
      </c>
      <c r="Q16" s="100">
        <v>8.45</v>
      </c>
      <c r="R16" s="100">
        <f t="shared" si="0"/>
        <v>259.89</v>
      </c>
      <c r="S16" s="100">
        <f t="shared" si="1"/>
        <v>204.32</v>
      </c>
      <c r="T16" s="102">
        <f t="shared" si="2"/>
        <v>55.57</v>
      </c>
      <c r="U16" s="98"/>
      <c r="V16" s="2"/>
      <c r="W16" s="2"/>
      <c r="X16" s="2"/>
      <c r="Z16" s="2"/>
      <c r="AA16" s="2"/>
    </row>
    <row r="17" s="1" customFormat="1" ht="45" hidden="1" customHeight="1" spans="1:27">
      <c r="A17" s="98">
        <v>14</v>
      </c>
      <c r="B17" s="99" t="s">
        <v>35</v>
      </c>
      <c r="C17" s="100">
        <v>4308</v>
      </c>
      <c r="D17" s="101">
        <v>25</v>
      </c>
      <c r="E17" s="100">
        <v>21.53</v>
      </c>
      <c r="F17" s="100">
        <v>21.53</v>
      </c>
      <c r="G17" s="102">
        <v>0</v>
      </c>
      <c r="H17" s="100">
        <v>1000</v>
      </c>
      <c r="I17" s="100">
        <v>1</v>
      </c>
      <c r="J17" s="100">
        <v>5</v>
      </c>
      <c r="K17" s="100">
        <v>5</v>
      </c>
      <c r="L17" s="100">
        <v>0</v>
      </c>
      <c r="M17" s="100">
        <v>0</v>
      </c>
      <c r="N17" s="100">
        <v>0</v>
      </c>
      <c r="O17" s="100">
        <v>0</v>
      </c>
      <c r="P17" s="102">
        <v>0</v>
      </c>
      <c r="Q17" s="100">
        <v>0</v>
      </c>
      <c r="R17" s="100">
        <f t="shared" si="0"/>
        <v>26.53</v>
      </c>
      <c r="S17" s="100">
        <f t="shared" si="1"/>
        <v>26.53</v>
      </c>
      <c r="T17" s="102">
        <f t="shared" si="2"/>
        <v>0</v>
      </c>
      <c r="U17" s="98"/>
      <c r="V17" s="2"/>
      <c r="W17" s="2"/>
      <c r="X17" s="2"/>
      <c r="Z17" s="2"/>
      <c r="AA17" s="2"/>
    </row>
    <row r="18" s="1" customFormat="1" ht="45" hidden="1" customHeight="1" spans="1:27">
      <c r="A18" s="98">
        <v>15</v>
      </c>
      <c r="B18" s="99" t="s">
        <v>40</v>
      </c>
      <c r="C18" s="100">
        <v>10241.43</v>
      </c>
      <c r="D18" s="101">
        <v>30</v>
      </c>
      <c r="E18" s="100">
        <v>49.66</v>
      </c>
      <c r="F18" s="100">
        <v>30.37</v>
      </c>
      <c r="G18" s="102">
        <v>19.29</v>
      </c>
      <c r="H18" s="100">
        <v>7600</v>
      </c>
      <c r="I18" s="100">
        <v>9</v>
      </c>
      <c r="J18" s="100">
        <v>37.92</v>
      </c>
      <c r="K18" s="100">
        <v>16.48</v>
      </c>
      <c r="L18" s="100">
        <v>21.44</v>
      </c>
      <c r="M18" s="100">
        <v>0</v>
      </c>
      <c r="N18" s="100">
        <v>0</v>
      </c>
      <c r="O18" s="100">
        <v>0</v>
      </c>
      <c r="P18" s="102">
        <v>0</v>
      </c>
      <c r="Q18" s="100">
        <v>0</v>
      </c>
      <c r="R18" s="100">
        <f t="shared" si="0"/>
        <v>87.58</v>
      </c>
      <c r="S18" s="100">
        <f t="shared" si="1"/>
        <v>46.85</v>
      </c>
      <c r="T18" s="102">
        <f t="shared" si="2"/>
        <v>40.73</v>
      </c>
      <c r="U18" s="98"/>
      <c r="V18" s="2"/>
      <c r="W18" s="2"/>
      <c r="X18" s="2"/>
      <c r="Z18" s="2"/>
      <c r="AA18" s="2"/>
    </row>
    <row r="19" s="1" customFormat="1" ht="45" hidden="1" customHeight="1" spans="1:27">
      <c r="A19" s="98">
        <v>16</v>
      </c>
      <c r="B19" s="99" t="s">
        <v>29</v>
      </c>
      <c r="C19" s="100">
        <v>3590</v>
      </c>
      <c r="D19" s="101">
        <v>14</v>
      </c>
      <c r="E19" s="100">
        <v>17.23</v>
      </c>
      <c r="F19" s="100">
        <v>17.23</v>
      </c>
      <c r="G19" s="102">
        <v>0</v>
      </c>
      <c r="H19" s="100">
        <v>9900</v>
      </c>
      <c r="I19" s="100">
        <v>11</v>
      </c>
      <c r="J19" s="100">
        <v>49.37</v>
      </c>
      <c r="K19" s="100">
        <v>49.37</v>
      </c>
      <c r="L19" s="100">
        <v>0</v>
      </c>
      <c r="M19" s="100">
        <v>0</v>
      </c>
      <c r="N19" s="100">
        <v>0</v>
      </c>
      <c r="O19" s="100">
        <v>0</v>
      </c>
      <c r="P19" s="102">
        <v>0</v>
      </c>
      <c r="Q19" s="100">
        <v>0</v>
      </c>
      <c r="R19" s="100">
        <f t="shared" si="0"/>
        <v>66.6</v>
      </c>
      <c r="S19" s="100">
        <f t="shared" si="1"/>
        <v>66.6</v>
      </c>
      <c r="T19" s="102">
        <f t="shared" si="2"/>
        <v>0</v>
      </c>
      <c r="U19" s="98"/>
      <c r="V19" s="2"/>
      <c r="W19" s="2"/>
      <c r="X19" s="2"/>
      <c r="Z19" s="2"/>
      <c r="AA19" s="2"/>
    </row>
    <row r="20" s="1" customFormat="1" ht="45" hidden="1" customHeight="1" spans="1:27">
      <c r="A20" s="98">
        <v>17</v>
      </c>
      <c r="B20" s="99" t="s">
        <v>42</v>
      </c>
      <c r="C20" s="100">
        <v>200</v>
      </c>
      <c r="D20" s="101">
        <v>1</v>
      </c>
      <c r="E20" s="100">
        <v>0.94</v>
      </c>
      <c r="F20" s="100">
        <v>0.94</v>
      </c>
      <c r="G20" s="102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164900.398375</v>
      </c>
      <c r="N20" s="100">
        <v>1492</v>
      </c>
      <c r="O20" s="100">
        <v>324.739999999997</v>
      </c>
      <c r="P20" s="102">
        <v>321.489999999997</v>
      </c>
      <c r="Q20" s="100">
        <v>3.25</v>
      </c>
      <c r="R20" s="100">
        <f t="shared" si="0"/>
        <v>325.679999999997</v>
      </c>
      <c r="S20" s="100">
        <f t="shared" si="1"/>
        <v>322.429999999997</v>
      </c>
      <c r="T20" s="102">
        <f t="shared" si="2"/>
        <v>3.25</v>
      </c>
      <c r="U20" s="98"/>
      <c r="V20" s="2"/>
      <c r="W20" s="2"/>
      <c r="X20" s="2"/>
      <c r="Z20" s="2"/>
      <c r="AA20" s="2"/>
    </row>
    <row r="21" s="1" customFormat="1" ht="45" hidden="1" customHeight="1" spans="1:27">
      <c r="A21" s="98">
        <v>18</v>
      </c>
      <c r="B21" s="99" t="s">
        <v>50</v>
      </c>
      <c r="C21" s="100">
        <v>830</v>
      </c>
      <c r="D21" s="101">
        <v>5</v>
      </c>
      <c r="E21" s="100">
        <v>4.15</v>
      </c>
      <c r="F21" s="100">
        <v>4.15</v>
      </c>
      <c r="G21" s="102">
        <v>0</v>
      </c>
      <c r="H21" s="100">
        <v>5420</v>
      </c>
      <c r="I21" s="100">
        <v>6</v>
      </c>
      <c r="J21" s="100">
        <v>24.42</v>
      </c>
      <c r="K21" s="100">
        <v>24.42</v>
      </c>
      <c r="L21" s="100">
        <v>0</v>
      </c>
      <c r="M21" s="100">
        <v>0</v>
      </c>
      <c r="N21" s="100">
        <v>0</v>
      </c>
      <c r="O21" s="100">
        <v>0</v>
      </c>
      <c r="P21" s="102">
        <v>0</v>
      </c>
      <c r="Q21" s="100">
        <v>0</v>
      </c>
      <c r="R21" s="100">
        <f t="shared" si="0"/>
        <v>28.57</v>
      </c>
      <c r="S21" s="100">
        <f t="shared" si="1"/>
        <v>28.57</v>
      </c>
      <c r="T21" s="102">
        <f t="shared" si="2"/>
        <v>0</v>
      </c>
      <c r="U21" s="98"/>
      <c r="V21" s="2"/>
      <c r="W21" s="2"/>
      <c r="X21" s="2"/>
      <c r="Z21" s="2"/>
      <c r="AA21" s="2"/>
    </row>
    <row r="22" s="1" customFormat="1" ht="45" hidden="1" customHeight="1" spans="1:27">
      <c r="A22" s="103" t="s">
        <v>61</v>
      </c>
      <c r="B22" s="104"/>
      <c r="C22" s="102">
        <f t="shared" ref="C22:U22" si="3">SUM(C4:C21)</f>
        <v>246871.78726</v>
      </c>
      <c r="D22" s="102">
        <f t="shared" si="3"/>
        <v>923</v>
      </c>
      <c r="E22" s="102">
        <f t="shared" si="3"/>
        <v>1217.73</v>
      </c>
      <c r="F22" s="102">
        <f t="shared" si="3"/>
        <v>1134.65</v>
      </c>
      <c r="G22" s="102">
        <f t="shared" si="3"/>
        <v>83.08</v>
      </c>
      <c r="H22" s="102">
        <f t="shared" si="3"/>
        <v>73611</v>
      </c>
      <c r="I22" s="102">
        <f t="shared" si="3"/>
        <v>84</v>
      </c>
      <c r="J22" s="102">
        <f t="shared" si="3"/>
        <v>356.26</v>
      </c>
      <c r="K22" s="102">
        <f t="shared" si="3"/>
        <v>293.53</v>
      </c>
      <c r="L22" s="102">
        <f t="shared" si="3"/>
        <v>62.73</v>
      </c>
      <c r="M22" s="102">
        <f t="shared" si="3"/>
        <v>266108.948375</v>
      </c>
      <c r="N22" s="102">
        <f t="shared" si="3"/>
        <v>2487</v>
      </c>
      <c r="O22" s="102">
        <f t="shared" si="3"/>
        <v>517.039999999997</v>
      </c>
      <c r="P22" s="102">
        <f t="shared" si="3"/>
        <v>500.829999999997</v>
      </c>
      <c r="Q22" s="102">
        <f t="shared" si="3"/>
        <v>16.21</v>
      </c>
      <c r="R22" s="102">
        <f t="shared" si="3"/>
        <v>2091.03</v>
      </c>
      <c r="S22" s="102">
        <f t="shared" si="3"/>
        <v>1929.01</v>
      </c>
      <c r="T22" s="102">
        <f t="shared" si="3"/>
        <v>162.02</v>
      </c>
      <c r="U22" s="98"/>
      <c r="V22" s="2"/>
      <c r="W22" s="2"/>
      <c r="X22" s="2"/>
      <c r="Y22" s="2"/>
      <c r="Z22" s="2"/>
      <c r="AA22" s="2"/>
    </row>
    <row r="23" s="1" customFormat="1" ht="77" customHeight="1" spans="3:27">
      <c r="C23" s="6"/>
      <c r="D23" s="86"/>
      <c r="E23" s="6"/>
      <c r="F23" s="6"/>
      <c r="G23" s="6"/>
      <c r="H23" s="6"/>
      <c r="I23" s="86"/>
      <c r="J23" s="6"/>
      <c r="K23" s="6"/>
      <c r="L23" s="6"/>
      <c r="M23" s="8"/>
      <c r="N23" s="87"/>
      <c r="O23" s="8"/>
      <c r="P23" s="8"/>
      <c r="Q23" s="8"/>
      <c r="R23" s="11"/>
      <c r="S23" s="11"/>
      <c r="T23" s="11"/>
      <c r="V23" s="2"/>
      <c r="W23" s="2"/>
      <c r="X23" s="2"/>
      <c r="Y23" s="2"/>
      <c r="Z23" s="2"/>
      <c r="AA23" s="2"/>
    </row>
    <row r="24" s="1" customFormat="1" ht="87" customHeight="1" spans="1:27">
      <c r="A24" s="93" t="s">
        <v>2</v>
      </c>
      <c r="B24" s="93" t="s">
        <v>93</v>
      </c>
      <c r="C24" s="94" t="s">
        <v>4</v>
      </c>
      <c r="D24" s="95"/>
      <c r="E24" s="94"/>
      <c r="F24" s="94"/>
      <c r="G24" s="94"/>
      <c r="H24" s="94"/>
      <c r="I24" s="95"/>
      <c r="J24" s="94"/>
      <c r="K24" s="94"/>
      <c r="L24" s="94"/>
      <c r="M24" s="115" t="s">
        <v>5</v>
      </c>
      <c r="N24" s="116"/>
      <c r="O24" s="117"/>
      <c r="P24" s="117"/>
      <c r="Q24" s="129"/>
      <c r="R24" s="130" t="s">
        <v>64</v>
      </c>
      <c r="S24" s="130" t="s">
        <v>65</v>
      </c>
      <c r="T24" s="130" t="s">
        <v>8</v>
      </c>
      <c r="U24" s="131" t="s">
        <v>9</v>
      </c>
      <c r="V24" s="2"/>
      <c r="W24" s="2"/>
      <c r="X24" s="2"/>
      <c r="Y24" s="2"/>
      <c r="Z24" s="2"/>
      <c r="AA24" s="2"/>
    </row>
    <row r="25" s="1" customFormat="1" ht="91" customHeight="1" spans="1:27">
      <c r="A25" s="93"/>
      <c r="B25" s="93"/>
      <c r="C25" s="96" t="s">
        <v>10</v>
      </c>
      <c r="D25" s="97" t="s">
        <v>67</v>
      </c>
      <c r="E25" s="96" t="s">
        <v>11</v>
      </c>
      <c r="F25" s="96" t="s">
        <v>12</v>
      </c>
      <c r="G25" s="96" t="s">
        <v>13</v>
      </c>
      <c r="H25" s="96" t="s">
        <v>14</v>
      </c>
      <c r="I25" s="97" t="s">
        <v>67</v>
      </c>
      <c r="J25" s="96" t="s">
        <v>11</v>
      </c>
      <c r="K25" s="96" t="s">
        <v>12</v>
      </c>
      <c r="L25" s="96" t="s">
        <v>13</v>
      </c>
      <c r="M25" s="118" t="s">
        <v>15</v>
      </c>
      <c r="N25" s="97" t="s">
        <v>67</v>
      </c>
      <c r="O25" s="118" t="s">
        <v>11</v>
      </c>
      <c r="P25" s="118" t="s">
        <v>12</v>
      </c>
      <c r="Q25" s="118" t="s">
        <v>13</v>
      </c>
      <c r="R25" s="96"/>
      <c r="S25" s="96"/>
      <c r="T25" s="96"/>
      <c r="U25" s="132"/>
      <c r="V25" s="2"/>
      <c r="W25" s="2"/>
      <c r="X25" s="2"/>
      <c r="Y25" s="2"/>
      <c r="Z25" s="2"/>
      <c r="AA25" s="2"/>
    </row>
    <row r="26" s="1" customFormat="1" ht="20" customHeight="1" spans="1:27">
      <c r="A26" s="98">
        <v>1</v>
      </c>
      <c r="B26" s="99" t="s">
        <v>59</v>
      </c>
      <c r="C26" s="101">
        <v>500</v>
      </c>
      <c r="D26" s="101">
        <v>1</v>
      </c>
      <c r="E26" s="105">
        <v>2.5</v>
      </c>
      <c r="F26" s="100">
        <v>2.5</v>
      </c>
      <c r="G26" s="105">
        <v>0</v>
      </c>
      <c r="H26" s="100">
        <f t="shared" ref="H26:Q26" si="4">0</f>
        <v>0</v>
      </c>
      <c r="I26" s="100">
        <f t="shared" si="4"/>
        <v>0</v>
      </c>
      <c r="J26" s="100">
        <f t="shared" si="4"/>
        <v>0</v>
      </c>
      <c r="K26" s="100">
        <f t="shared" si="4"/>
        <v>0</v>
      </c>
      <c r="L26" s="100">
        <f t="shared" si="4"/>
        <v>0</v>
      </c>
      <c r="M26" s="100">
        <f t="shared" si="4"/>
        <v>0</v>
      </c>
      <c r="N26" s="100">
        <f t="shared" si="4"/>
        <v>0</v>
      </c>
      <c r="O26" s="100">
        <f t="shared" si="4"/>
        <v>0</v>
      </c>
      <c r="P26" s="102">
        <f t="shared" si="4"/>
        <v>0</v>
      </c>
      <c r="Q26" s="100">
        <f t="shared" si="4"/>
        <v>0</v>
      </c>
      <c r="R26" s="100">
        <f t="shared" ref="R26:T26" si="5">E26+J26+O26</f>
        <v>2.5</v>
      </c>
      <c r="S26" s="100">
        <f t="shared" si="5"/>
        <v>2.5</v>
      </c>
      <c r="T26" s="102">
        <f t="shared" si="5"/>
        <v>0</v>
      </c>
      <c r="U26" s="98"/>
      <c r="V26" s="2"/>
      <c r="W26" s="100">
        <v>2.5</v>
      </c>
      <c r="X26" s="2">
        <f>+S26-W26</f>
        <v>0</v>
      </c>
      <c r="Y26" s="2"/>
      <c r="Z26" s="2"/>
      <c r="AA26" s="2"/>
    </row>
    <row r="27" s="1" customFormat="1" ht="20" customHeight="1" spans="1:27">
      <c r="A27" s="98">
        <v>2</v>
      </c>
      <c r="B27" s="99" t="s">
        <v>58</v>
      </c>
      <c r="C27" s="101">
        <v>590</v>
      </c>
      <c r="D27" s="101">
        <v>3</v>
      </c>
      <c r="E27" s="105">
        <v>2.89</v>
      </c>
      <c r="F27" s="100">
        <v>2.77</v>
      </c>
      <c r="G27" s="105">
        <v>0.12</v>
      </c>
      <c r="H27" s="100">
        <f t="shared" ref="H27:Q27" si="6">0</f>
        <v>0</v>
      </c>
      <c r="I27" s="100">
        <f t="shared" si="6"/>
        <v>0</v>
      </c>
      <c r="J27" s="100">
        <f t="shared" si="6"/>
        <v>0</v>
      </c>
      <c r="K27" s="100">
        <f t="shared" si="6"/>
        <v>0</v>
      </c>
      <c r="L27" s="100">
        <f t="shared" si="6"/>
        <v>0</v>
      </c>
      <c r="M27" s="100">
        <f t="shared" si="6"/>
        <v>0</v>
      </c>
      <c r="N27" s="100">
        <f t="shared" si="6"/>
        <v>0</v>
      </c>
      <c r="O27" s="100">
        <f t="shared" si="6"/>
        <v>0</v>
      </c>
      <c r="P27" s="102">
        <f t="shared" si="6"/>
        <v>0</v>
      </c>
      <c r="Q27" s="100">
        <f t="shared" si="6"/>
        <v>0</v>
      </c>
      <c r="R27" s="100">
        <f t="shared" ref="R27:T27" si="7">E27+J27+O27</f>
        <v>2.89</v>
      </c>
      <c r="S27" s="100">
        <f t="shared" si="7"/>
        <v>2.77</v>
      </c>
      <c r="T27" s="102">
        <f t="shared" si="7"/>
        <v>0.12</v>
      </c>
      <c r="U27" s="98"/>
      <c r="V27" s="2"/>
      <c r="W27" s="100">
        <v>2.77</v>
      </c>
      <c r="X27" s="2">
        <f t="shared" ref="X27:X43" si="8">+S27-W27</f>
        <v>0</v>
      </c>
      <c r="Y27" s="2"/>
      <c r="Z27" s="2"/>
      <c r="AA27" s="2"/>
    </row>
    <row r="28" s="1" customFormat="1" ht="20" customHeight="1" spans="1:27">
      <c r="A28" s="98">
        <v>3</v>
      </c>
      <c r="B28" s="99" t="s">
        <v>44</v>
      </c>
      <c r="C28" s="101">
        <v>4510.5982</v>
      </c>
      <c r="D28" s="101">
        <v>17</v>
      </c>
      <c r="E28" s="105">
        <v>21.56</v>
      </c>
      <c r="F28" s="100">
        <v>21.56</v>
      </c>
      <c r="G28" s="105">
        <v>0</v>
      </c>
      <c r="H28" s="100">
        <v>1800</v>
      </c>
      <c r="I28" s="100">
        <v>2</v>
      </c>
      <c r="J28" s="100">
        <v>6.48</v>
      </c>
      <c r="K28" s="100">
        <v>6.48</v>
      </c>
      <c r="L28" s="100">
        <v>0</v>
      </c>
      <c r="M28" s="100">
        <f t="shared" ref="M28:Q28" si="9">0</f>
        <v>0</v>
      </c>
      <c r="N28" s="100">
        <f t="shared" si="9"/>
        <v>0</v>
      </c>
      <c r="O28" s="100">
        <f t="shared" si="9"/>
        <v>0</v>
      </c>
      <c r="P28" s="102">
        <f t="shared" si="9"/>
        <v>0</v>
      </c>
      <c r="Q28" s="100">
        <f t="shared" si="9"/>
        <v>0</v>
      </c>
      <c r="R28" s="100">
        <f t="shared" ref="R28:T28" si="10">E28+J28+O28</f>
        <v>28.04</v>
      </c>
      <c r="S28" s="100">
        <f t="shared" si="10"/>
        <v>28.04</v>
      </c>
      <c r="T28" s="102">
        <f t="shared" si="10"/>
        <v>0</v>
      </c>
      <c r="U28" s="98"/>
      <c r="V28" s="2"/>
      <c r="W28" s="100">
        <v>28.04</v>
      </c>
      <c r="X28" s="2">
        <f t="shared" si="8"/>
        <v>0</v>
      </c>
      <c r="Y28" s="2"/>
      <c r="Z28" s="2"/>
      <c r="AA28" s="2"/>
    </row>
    <row r="29" s="85" customFormat="1" ht="20" customHeight="1" spans="1:256">
      <c r="A29" s="98">
        <v>4</v>
      </c>
      <c r="B29" s="99" t="s">
        <v>52</v>
      </c>
      <c r="C29" s="101">
        <v>26395.01296</v>
      </c>
      <c r="D29" s="101">
        <v>122</v>
      </c>
      <c r="E29" s="105">
        <v>131.94</v>
      </c>
      <c r="F29" s="100">
        <v>123.89</v>
      </c>
      <c r="G29" s="105">
        <v>8.05</v>
      </c>
      <c r="H29" s="100">
        <v>6980</v>
      </c>
      <c r="I29" s="100">
        <v>8</v>
      </c>
      <c r="J29" s="100">
        <v>34.89</v>
      </c>
      <c r="K29" s="100">
        <v>30.04</v>
      </c>
      <c r="L29" s="100">
        <v>4.85</v>
      </c>
      <c r="M29" s="100">
        <v>16662.3</v>
      </c>
      <c r="N29" s="100">
        <v>130</v>
      </c>
      <c r="O29" s="100">
        <v>31.3</v>
      </c>
      <c r="P29" s="102">
        <v>31.3</v>
      </c>
      <c r="Q29" s="100">
        <v>0</v>
      </c>
      <c r="R29" s="100">
        <f t="shared" ref="R29:T29" si="11">E29+J29+O29</f>
        <v>198.13</v>
      </c>
      <c r="S29" s="100">
        <f t="shared" si="11"/>
        <v>185.23</v>
      </c>
      <c r="T29" s="102">
        <f t="shared" si="11"/>
        <v>12.9</v>
      </c>
      <c r="U29" s="98"/>
      <c r="V29" s="133"/>
      <c r="W29" s="134">
        <v>185.73</v>
      </c>
      <c r="X29" s="133">
        <f t="shared" si="8"/>
        <v>-0.499999999999972</v>
      </c>
      <c r="Y29" s="133"/>
      <c r="Z29" s="133"/>
      <c r="AA29" s="133"/>
      <c r="IQ29" s="136"/>
      <c r="IR29" s="136"/>
      <c r="IS29" s="136"/>
      <c r="IT29" s="136"/>
      <c r="IU29" s="136"/>
      <c r="IV29" s="136"/>
    </row>
    <row r="30" s="1" customFormat="1" ht="20" customHeight="1" spans="1:27">
      <c r="A30" s="98">
        <v>5</v>
      </c>
      <c r="B30" s="99" t="s">
        <v>48</v>
      </c>
      <c r="C30" s="101">
        <v>13577.29</v>
      </c>
      <c r="D30" s="101">
        <v>62</v>
      </c>
      <c r="E30" s="105">
        <v>66.2</v>
      </c>
      <c r="F30" s="100">
        <v>65.71</v>
      </c>
      <c r="G30" s="105">
        <v>0.49</v>
      </c>
      <c r="H30" s="100">
        <v>3899</v>
      </c>
      <c r="I30" s="100">
        <v>4</v>
      </c>
      <c r="J30" s="100">
        <v>19.46</v>
      </c>
      <c r="K30" s="100">
        <v>19.46</v>
      </c>
      <c r="L30" s="100">
        <v>0</v>
      </c>
      <c r="M30" s="100">
        <f t="shared" ref="M30:Q30" si="12">0</f>
        <v>0</v>
      </c>
      <c r="N30" s="100">
        <f t="shared" si="12"/>
        <v>0</v>
      </c>
      <c r="O30" s="100">
        <f t="shared" si="12"/>
        <v>0</v>
      </c>
      <c r="P30" s="102">
        <f t="shared" si="12"/>
        <v>0</v>
      </c>
      <c r="Q30" s="100">
        <f t="shared" si="12"/>
        <v>0</v>
      </c>
      <c r="R30" s="100">
        <f t="shared" ref="R30:T30" si="13">E30+J30+O30</f>
        <v>85.66</v>
      </c>
      <c r="S30" s="100">
        <f t="shared" si="13"/>
        <v>85.17</v>
      </c>
      <c r="T30" s="102">
        <f t="shared" si="13"/>
        <v>0.49</v>
      </c>
      <c r="U30" s="98"/>
      <c r="V30" s="2"/>
      <c r="W30" s="100">
        <v>85.17</v>
      </c>
      <c r="X30" s="2">
        <f t="shared" si="8"/>
        <v>0</v>
      </c>
      <c r="Y30" s="2"/>
      <c r="Z30" s="2"/>
      <c r="AA30" s="2"/>
    </row>
    <row r="31" s="85" customFormat="1" ht="20" customHeight="1" spans="1:256">
      <c r="A31" s="98">
        <v>6</v>
      </c>
      <c r="B31" s="99" t="s">
        <v>21</v>
      </c>
      <c r="C31" s="101">
        <v>30551.8</v>
      </c>
      <c r="D31" s="101">
        <v>119</v>
      </c>
      <c r="E31" s="105">
        <v>150.9</v>
      </c>
      <c r="F31" s="100">
        <v>144.41</v>
      </c>
      <c r="G31" s="105">
        <v>6.49</v>
      </c>
      <c r="H31" s="100">
        <v>830</v>
      </c>
      <c r="I31" s="100">
        <v>1</v>
      </c>
      <c r="J31" s="100">
        <v>3.99</v>
      </c>
      <c r="K31" s="100">
        <v>3.99</v>
      </c>
      <c r="L31" s="100">
        <v>0</v>
      </c>
      <c r="M31" s="100">
        <v>13267.4</v>
      </c>
      <c r="N31" s="100">
        <v>130</v>
      </c>
      <c r="O31" s="100">
        <v>22.2</v>
      </c>
      <c r="P31" s="102">
        <v>21.65</v>
      </c>
      <c r="Q31" s="100">
        <v>0.55</v>
      </c>
      <c r="R31" s="100">
        <f t="shared" ref="R31:T31" si="14">E31+J31+O31</f>
        <v>177.09</v>
      </c>
      <c r="S31" s="100">
        <f t="shared" si="14"/>
        <v>170.05</v>
      </c>
      <c r="T31" s="102">
        <f t="shared" si="14"/>
        <v>7.04</v>
      </c>
      <c r="U31" s="98"/>
      <c r="V31" s="133"/>
      <c r="W31" s="134">
        <v>174.05</v>
      </c>
      <c r="X31" s="133">
        <f t="shared" si="8"/>
        <v>-4</v>
      </c>
      <c r="Y31" s="133"/>
      <c r="Z31" s="133"/>
      <c r="AA31" s="133"/>
      <c r="IQ31" s="136"/>
      <c r="IR31" s="136"/>
      <c r="IS31" s="136"/>
      <c r="IT31" s="136"/>
      <c r="IU31" s="136"/>
      <c r="IV31" s="136"/>
    </row>
    <row r="32" s="1" customFormat="1" ht="20" customHeight="1" spans="1:27">
      <c r="A32" s="98">
        <v>7</v>
      </c>
      <c r="B32" s="99" t="s">
        <v>56</v>
      </c>
      <c r="C32" s="101">
        <v>11160</v>
      </c>
      <c r="D32" s="101">
        <v>53</v>
      </c>
      <c r="E32" s="105">
        <v>55.8</v>
      </c>
      <c r="F32" s="100">
        <v>55.8</v>
      </c>
      <c r="G32" s="105">
        <v>0</v>
      </c>
      <c r="H32" s="100">
        <v>1780</v>
      </c>
      <c r="I32" s="100">
        <v>2</v>
      </c>
      <c r="J32" s="100">
        <v>8.9</v>
      </c>
      <c r="K32" s="100">
        <v>8.9</v>
      </c>
      <c r="L32" s="100">
        <v>0</v>
      </c>
      <c r="M32" s="100">
        <f t="shared" ref="M32:Q32" si="15">0</f>
        <v>0</v>
      </c>
      <c r="N32" s="100">
        <f t="shared" si="15"/>
        <v>0</v>
      </c>
      <c r="O32" s="100">
        <f t="shared" si="15"/>
        <v>0</v>
      </c>
      <c r="P32" s="102">
        <f t="shared" si="15"/>
        <v>0</v>
      </c>
      <c r="Q32" s="100">
        <f t="shared" si="15"/>
        <v>0</v>
      </c>
      <c r="R32" s="100">
        <f t="shared" ref="R32:T32" si="16">E32+J32+O32</f>
        <v>64.7</v>
      </c>
      <c r="S32" s="100">
        <f t="shared" si="16"/>
        <v>64.7</v>
      </c>
      <c r="T32" s="102">
        <f t="shared" si="16"/>
        <v>0</v>
      </c>
      <c r="U32" s="98"/>
      <c r="V32" s="2"/>
      <c r="W32" s="100">
        <v>64.7</v>
      </c>
      <c r="X32" s="2">
        <f t="shared" si="8"/>
        <v>0</v>
      </c>
      <c r="Y32" s="2"/>
      <c r="Z32" s="2"/>
      <c r="AA32" s="2"/>
    </row>
    <row r="33" s="85" customFormat="1" ht="20" customHeight="1" spans="1:256">
      <c r="A33" s="98">
        <v>8</v>
      </c>
      <c r="B33" s="99" t="s">
        <v>25</v>
      </c>
      <c r="C33" s="101">
        <v>7680.8</v>
      </c>
      <c r="D33" s="101">
        <v>31</v>
      </c>
      <c r="E33" s="105">
        <v>37.91</v>
      </c>
      <c r="F33" s="100">
        <v>33.39</v>
      </c>
      <c r="G33" s="105">
        <v>4.52</v>
      </c>
      <c r="H33" s="100">
        <f t="shared" ref="H33:Q33" si="17">0</f>
        <v>0</v>
      </c>
      <c r="I33" s="100">
        <f t="shared" si="17"/>
        <v>0</v>
      </c>
      <c r="J33" s="100">
        <f t="shared" si="17"/>
        <v>0</v>
      </c>
      <c r="K33" s="100">
        <f t="shared" si="17"/>
        <v>0</v>
      </c>
      <c r="L33" s="100">
        <f t="shared" si="17"/>
        <v>0</v>
      </c>
      <c r="M33" s="100">
        <f t="shared" si="17"/>
        <v>0</v>
      </c>
      <c r="N33" s="100">
        <f t="shared" si="17"/>
        <v>0</v>
      </c>
      <c r="O33" s="100">
        <f t="shared" si="17"/>
        <v>0</v>
      </c>
      <c r="P33" s="102">
        <f t="shared" si="17"/>
        <v>0</v>
      </c>
      <c r="Q33" s="100">
        <f t="shared" si="17"/>
        <v>0</v>
      </c>
      <c r="R33" s="100">
        <f t="shared" ref="R33:T33" si="18">E33+J33+O33</f>
        <v>37.91</v>
      </c>
      <c r="S33" s="100">
        <f t="shared" si="18"/>
        <v>33.39</v>
      </c>
      <c r="T33" s="102">
        <f t="shared" si="18"/>
        <v>4.52</v>
      </c>
      <c r="U33" s="98"/>
      <c r="V33" s="133"/>
      <c r="W33" s="134">
        <v>37.11</v>
      </c>
      <c r="X33" s="133">
        <f t="shared" si="8"/>
        <v>-3.72</v>
      </c>
      <c r="Y33" s="133"/>
      <c r="Z33" s="133"/>
      <c r="AA33" s="133"/>
      <c r="IQ33" s="136"/>
      <c r="IR33" s="136"/>
      <c r="IS33" s="136"/>
      <c r="IT33" s="136"/>
      <c r="IU33" s="136"/>
      <c r="IV33" s="136"/>
    </row>
    <row r="34" s="1" customFormat="1" ht="20" customHeight="1" spans="1:27">
      <c r="A34" s="98">
        <v>9</v>
      </c>
      <c r="B34" s="99" t="s">
        <v>24</v>
      </c>
      <c r="C34" s="101">
        <v>17799.4</v>
      </c>
      <c r="D34" s="101">
        <v>70</v>
      </c>
      <c r="E34" s="105">
        <v>86.47</v>
      </c>
      <c r="F34" s="100">
        <v>85.07</v>
      </c>
      <c r="G34" s="105">
        <v>1.4</v>
      </c>
      <c r="H34" s="100">
        <v>11080</v>
      </c>
      <c r="I34" s="100">
        <v>13</v>
      </c>
      <c r="J34" s="100">
        <v>53.14</v>
      </c>
      <c r="K34" s="100">
        <v>41.92</v>
      </c>
      <c r="L34" s="100">
        <v>11.22</v>
      </c>
      <c r="M34" s="100">
        <v>24262.35</v>
      </c>
      <c r="N34" s="100">
        <v>308</v>
      </c>
      <c r="O34" s="100">
        <v>45.77</v>
      </c>
      <c r="P34" s="102">
        <v>43.06</v>
      </c>
      <c r="Q34" s="100">
        <v>2.71</v>
      </c>
      <c r="R34" s="100">
        <f t="shared" ref="R34:T34" si="19">E34+J34+O34</f>
        <v>185.38</v>
      </c>
      <c r="S34" s="100">
        <f t="shared" si="19"/>
        <v>170.05</v>
      </c>
      <c r="T34" s="102">
        <f t="shared" si="19"/>
        <v>15.33</v>
      </c>
      <c r="U34" s="98"/>
      <c r="V34" s="2"/>
      <c r="W34" s="100">
        <v>170.05</v>
      </c>
      <c r="X34" s="2">
        <f t="shared" si="8"/>
        <v>0</v>
      </c>
      <c r="Y34" s="2"/>
      <c r="Z34" s="2"/>
      <c r="AA34" s="2"/>
    </row>
    <row r="35" s="1" customFormat="1" ht="20" customHeight="1" spans="1:27">
      <c r="A35" s="98">
        <v>10</v>
      </c>
      <c r="B35" s="99" t="s">
        <v>57</v>
      </c>
      <c r="C35" s="101">
        <v>4650</v>
      </c>
      <c r="D35" s="101">
        <v>32</v>
      </c>
      <c r="E35" s="105">
        <v>22.98</v>
      </c>
      <c r="F35" s="100">
        <v>22.9</v>
      </c>
      <c r="G35" s="105">
        <v>0.08</v>
      </c>
      <c r="H35" s="100">
        <f t="shared" ref="H35:Q35" si="20">0</f>
        <v>0</v>
      </c>
      <c r="I35" s="100">
        <f t="shared" si="20"/>
        <v>0</v>
      </c>
      <c r="J35" s="100">
        <f t="shared" si="20"/>
        <v>0</v>
      </c>
      <c r="K35" s="100">
        <f t="shared" si="20"/>
        <v>0</v>
      </c>
      <c r="L35" s="100">
        <f t="shared" si="20"/>
        <v>0</v>
      </c>
      <c r="M35" s="100">
        <f t="shared" si="20"/>
        <v>0</v>
      </c>
      <c r="N35" s="100">
        <f t="shared" si="20"/>
        <v>0</v>
      </c>
      <c r="O35" s="100">
        <f t="shared" si="20"/>
        <v>0</v>
      </c>
      <c r="P35" s="102">
        <f t="shared" si="20"/>
        <v>0</v>
      </c>
      <c r="Q35" s="100">
        <f t="shared" si="20"/>
        <v>0</v>
      </c>
      <c r="R35" s="100">
        <f t="shared" ref="R35:T35" si="21">E35+J35+O35</f>
        <v>22.98</v>
      </c>
      <c r="S35" s="100">
        <f t="shared" si="21"/>
        <v>22.9</v>
      </c>
      <c r="T35" s="102">
        <f t="shared" si="21"/>
        <v>0.08</v>
      </c>
      <c r="U35" s="98"/>
      <c r="V35" s="2"/>
      <c r="W35" s="100">
        <v>22.9</v>
      </c>
      <c r="X35" s="2">
        <f t="shared" si="8"/>
        <v>0</v>
      </c>
      <c r="Y35" s="2"/>
      <c r="Z35" s="2"/>
      <c r="AA35" s="2"/>
    </row>
    <row r="36" s="1" customFormat="1" ht="20" customHeight="1" spans="1:27">
      <c r="A36" s="98">
        <v>11</v>
      </c>
      <c r="B36" s="99" t="s">
        <v>23</v>
      </c>
      <c r="C36" s="101">
        <v>75251.4561</v>
      </c>
      <c r="D36" s="101">
        <v>220</v>
      </c>
      <c r="E36" s="105">
        <v>375.66</v>
      </c>
      <c r="F36" s="100">
        <v>366.6</v>
      </c>
      <c r="G36" s="105">
        <v>9.06</v>
      </c>
      <c r="H36" s="100">
        <v>10986</v>
      </c>
      <c r="I36" s="100">
        <v>13</v>
      </c>
      <c r="J36" s="100">
        <v>54.57</v>
      </c>
      <c r="K36" s="100">
        <v>41.15</v>
      </c>
      <c r="L36" s="100">
        <v>13.42</v>
      </c>
      <c r="M36" s="100">
        <v>19907.7</v>
      </c>
      <c r="N36" s="100">
        <v>177</v>
      </c>
      <c r="O36" s="100">
        <v>39.11</v>
      </c>
      <c r="P36" s="102">
        <v>37.86</v>
      </c>
      <c r="Q36" s="100">
        <v>1.25</v>
      </c>
      <c r="R36" s="100">
        <f t="shared" ref="R36:T36" si="22">E36+J36+O36</f>
        <v>469.34</v>
      </c>
      <c r="S36" s="100">
        <f t="shared" si="22"/>
        <v>445.61</v>
      </c>
      <c r="T36" s="102">
        <f t="shared" si="22"/>
        <v>23.73</v>
      </c>
      <c r="U36" s="98"/>
      <c r="V36" s="2"/>
      <c r="W36" s="100">
        <v>445.61</v>
      </c>
      <c r="X36" s="2">
        <f t="shared" si="8"/>
        <v>0</v>
      </c>
      <c r="Y36" s="2"/>
      <c r="Z36" s="2"/>
      <c r="AA36" s="2"/>
    </row>
    <row r="37" s="85" customFormat="1" ht="20" customHeight="1" spans="1:256">
      <c r="A37" s="98">
        <v>12</v>
      </c>
      <c r="B37" s="99" t="s">
        <v>38</v>
      </c>
      <c r="C37" s="101">
        <v>2520</v>
      </c>
      <c r="D37" s="101">
        <v>8</v>
      </c>
      <c r="E37" s="105">
        <v>10</v>
      </c>
      <c r="F37" s="100">
        <v>6.29</v>
      </c>
      <c r="G37" s="105">
        <v>3.71</v>
      </c>
      <c r="H37" s="100">
        <v>2800</v>
      </c>
      <c r="I37" s="100">
        <v>3</v>
      </c>
      <c r="J37" s="100">
        <v>11.56</v>
      </c>
      <c r="K37" s="100">
        <v>7.57</v>
      </c>
      <c r="L37" s="100">
        <v>3.99</v>
      </c>
      <c r="M37" s="100">
        <f t="shared" ref="M37:Q37" si="23">0</f>
        <v>0</v>
      </c>
      <c r="N37" s="100">
        <f t="shared" si="23"/>
        <v>0</v>
      </c>
      <c r="O37" s="100">
        <f t="shared" si="23"/>
        <v>0</v>
      </c>
      <c r="P37" s="102">
        <f t="shared" si="23"/>
        <v>0</v>
      </c>
      <c r="Q37" s="100">
        <f t="shared" si="23"/>
        <v>0</v>
      </c>
      <c r="R37" s="100">
        <f t="shared" ref="R37:T37" si="24">E37+J37+O37</f>
        <v>21.56</v>
      </c>
      <c r="S37" s="100">
        <f t="shared" si="24"/>
        <v>13.86</v>
      </c>
      <c r="T37" s="102">
        <f t="shared" si="24"/>
        <v>7.7</v>
      </c>
      <c r="U37" s="98"/>
      <c r="V37" s="133"/>
      <c r="W37" s="134">
        <v>15.08</v>
      </c>
      <c r="X37" s="133">
        <f t="shared" si="8"/>
        <v>-1.22</v>
      </c>
      <c r="Y37" s="133"/>
      <c r="Z37" s="133"/>
      <c r="AA37" s="133"/>
      <c r="IQ37" s="136"/>
      <c r="IR37" s="136"/>
      <c r="IS37" s="136"/>
      <c r="IT37" s="136"/>
      <c r="IU37" s="136"/>
      <c r="IV37" s="136"/>
    </row>
    <row r="38" s="85" customFormat="1" ht="20" customHeight="1" spans="1:256">
      <c r="A38" s="98">
        <v>13</v>
      </c>
      <c r="B38" s="99" t="s">
        <v>18</v>
      </c>
      <c r="C38" s="101">
        <v>32516</v>
      </c>
      <c r="D38" s="101">
        <v>110</v>
      </c>
      <c r="E38" s="105">
        <v>159.41</v>
      </c>
      <c r="F38" s="100">
        <v>116.67</v>
      </c>
      <c r="G38" s="105">
        <v>42.74</v>
      </c>
      <c r="H38" s="100">
        <v>9536</v>
      </c>
      <c r="I38" s="100">
        <v>11</v>
      </c>
      <c r="J38" s="100">
        <v>46.56</v>
      </c>
      <c r="K38" s="100">
        <v>38.75</v>
      </c>
      <c r="L38" s="100">
        <v>7.81</v>
      </c>
      <c r="M38" s="100">
        <v>27108.8</v>
      </c>
      <c r="N38" s="100">
        <v>250</v>
      </c>
      <c r="O38" s="100">
        <v>53.92</v>
      </c>
      <c r="P38" s="102">
        <v>45.47</v>
      </c>
      <c r="Q38" s="100">
        <v>8.45</v>
      </c>
      <c r="R38" s="100">
        <f t="shared" ref="R38:T38" si="25">E38+J38+O38</f>
        <v>259.89</v>
      </c>
      <c r="S38" s="100">
        <f t="shared" si="25"/>
        <v>200.89</v>
      </c>
      <c r="T38" s="102">
        <f t="shared" si="25"/>
        <v>59</v>
      </c>
      <c r="U38" s="98"/>
      <c r="V38" s="133"/>
      <c r="W38" s="134">
        <v>204.32</v>
      </c>
      <c r="X38" s="133">
        <f t="shared" si="8"/>
        <v>-3.42999999999998</v>
      </c>
      <c r="Y38" s="133"/>
      <c r="Z38" s="133"/>
      <c r="AA38" s="133"/>
      <c r="IQ38" s="136"/>
      <c r="IR38" s="136"/>
      <c r="IS38" s="136"/>
      <c r="IT38" s="136"/>
      <c r="IU38" s="136"/>
      <c r="IV38" s="136"/>
    </row>
    <row r="39" s="1" customFormat="1" ht="20" customHeight="1" spans="1:27">
      <c r="A39" s="98">
        <v>14</v>
      </c>
      <c r="B39" s="99" t="s">
        <v>35</v>
      </c>
      <c r="C39" s="101">
        <v>4308</v>
      </c>
      <c r="D39" s="101">
        <v>25</v>
      </c>
      <c r="E39" s="105">
        <v>21.53</v>
      </c>
      <c r="F39" s="100">
        <v>21.53</v>
      </c>
      <c r="G39" s="105">
        <v>0</v>
      </c>
      <c r="H39" s="100">
        <v>1000</v>
      </c>
      <c r="I39" s="100">
        <v>1</v>
      </c>
      <c r="J39" s="100">
        <v>5</v>
      </c>
      <c r="K39" s="100">
        <v>5</v>
      </c>
      <c r="L39" s="100">
        <v>0</v>
      </c>
      <c r="M39" s="100">
        <f t="shared" ref="M39:Q39" si="26">0</f>
        <v>0</v>
      </c>
      <c r="N39" s="100">
        <f t="shared" si="26"/>
        <v>0</v>
      </c>
      <c r="O39" s="100">
        <f t="shared" si="26"/>
        <v>0</v>
      </c>
      <c r="P39" s="102">
        <f t="shared" si="26"/>
        <v>0</v>
      </c>
      <c r="Q39" s="100">
        <f t="shared" si="26"/>
        <v>0</v>
      </c>
      <c r="R39" s="100">
        <f t="shared" ref="R39:T39" si="27">E39+J39+O39</f>
        <v>26.53</v>
      </c>
      <c r="S39" s="100">
        <f t="shared" si="27"/>
        <v>26.53</v>
      </c>
      <c r="T39" s="102">
        <f t="shared" si="27"/>
        <v>0</v>
      </c>
      <c r="U39" s="98"/>
      <c r="V39" s="2"/>
      <c r="W39" s="100">
        <v>26.53</v>
      </c>
      <c r="X39" s="2">
        <f t="shared" si="8"/>
        <v>0</v>
      </c>
      <c r="Y39" s="2"/>
      <c r="Z39" s="2"/>
      <c r="AA39" s="2"/>
    </row>
    <row r="40" s="85" customFormat="1" ht="20" customHeight="1" spans="1:256">
      <c r="A40" s="98">
        <v>15</v>
      </c>
      <c r="B40" s="99" t="s">
        <v>40</v>
      </c>
      <c r="C40" s="101">
        <v>10241.43</v>
      </c>
      <c r="D40" s="101">
        <v>30</v>
      </c>
      <c r="E40" s="105">
        <v>49.66</v>
      </c>
      <c r="F40" s="100">
        <v>28.95</v>
      </c>
      <c r="G40" s="105">
        <v>20.71</v>
      </c>
      <c r="H40" s="100">
        <v>7600</v>
      </c>
      <c r="I40" s="100">
        <v>9</v>
      </c>
      <c r="J40" s="100">
        <v>37.92</v>
      </c>
      <c r="K40" s="100">
        <v>16.48</v>
      </c>
      <c r="L40" s="100">
        <v>21.44</v>
      </c>
      <c r="M40" s="100">
        <f t="shared" ref="M40:Q40" si="28">0</f>
        <v>0</v>
      </c>
      <c r="N40" s="100">
        <f t="shared" si="28"/>
        <v>0</v>
      </c>
      <c r="O40" s="100">
        <f t="shared" si="28"/>
        <v>0</v>
      </c>
      <c r="P40" s="102">
        <f t="shared" si="28"/>
        <v>0</v>
      </c>
      <c r="Q40" s="100">
        <f t="shared" si="28"/>
        <v>0</v>
      </c>
      <c r="R40" s="100">
        <f t="shared" ref="R40:T40" si="29">E40+J40+O40</f>
        <v>87.58</v>
      </c>
      <c r="S40" s="100">
        <f t="shared" si="29"/>
        <v>45.43</v>
      </c>
      <c r="T40" s="102">
        <f t="shared" si="29"/>
        <v>42.15</v>
      </c>
      <c r="U40" s="98"/>
      <c r="V40" s="133"/>
      <c r="W40" s="134">
        <v>46.85</v>
      </c>
      <c r="X40" s="133">
        <f t="shared" si="8"/>
        <v>-1.42</v>
      </c>
      <c r="Y40" s="133"/>
      <c r="Z40" s="133"/>
      <c r="AA40" s="133"/>
      <c r="IQ40" s="136"/>
      <c r="IR40" s="136"/>
      <c r="IS40" s="136"/>
      <c r="IT40" s="136"/>
      <c r="IU40" s="136"/>
      <c r="IV40" s="136"/>
    </row>
    <row r="41" s="1" customFormat="1" ht="20" customHeight="1" spans="1:27">
      <c r="A41" s="98">
        <v>16</v>
      </c>
      <c r="B41" s="99" t="s">
        <v>29</v>
      </c>
      <c r="C41" s="101">
        <v>3590</v>
      </c>
      <c r="D41" s="101">
        <v>14</v>
      </c>
      <c r="E41" s="105">
        <v>17.23</v>
      </c>
      <c r="F41" s="100">
        <v>17.23</v>
      </c>
      <c r="G41" s="105">
        <v>0</v>
      </c>
      <c r="H41" s="100">
        <v>9900</v>
      </c>
      <c r="I41" s="100">
        <v>11</v>
      </c>
      <c r="J41" s="100">
        <v>49.37</v>
      </c>
      <c r="K41" s="100">
        <v>49.37</v>
      </c>
      <c r="L41" s="100">
        <v>0</v>
      </c>
      <c r="M41" s="100">
        <f t="shared" ref="M41:Q41" si="30">0</f>
        <v>0</v>
      </c>
      <c r="N41" s="100">
        <f t="shared" si="30"/>
        <v>0</v>
      </c>
      <c r="O41" s="100">
        <f t="shared" si="30"/>
        <v>0</v>
      </c>
      <c r="P41" s="102">
        <f t="shared" si="30"/>
        <v>0</v>
      </c>
      <c r="Q41" s="100">
        <f t="shared" si="30"/>
        <v>0</v>
      </c>
      <c r="R41" s="100">
        <f t="shared" ref="R41:T41" si="31">E41+J41+O41</f>
        <v>66.6</v>
      </c>
      <c r="S41" s="100">
        <f t="shared" si="31"/>
        <v>66.6</v>
      </c>
      <c r="T41" s="102">
        <f t="shared" si="31"/>
        <v>0</v>
      </c>
      <c r="U41" s="98"/>
      <c r="V41" s="2"/>
      <c r="W41" s="100">
        <v>66.6</v>
      </c>
      <c r="X41" s="2">
        <f t="shared" si="8"/>
        <v>0</v>
      </c>
      <c r="Y41" s="2"/>
      <c r="Z41" s="2"/>
      <c r="AA41" s="2"/>
    </row>
    <row r="42" s="85" customFormat="1" ht="20" customHeight="1" spans="1:256">
      <c r="A42" s="98">
        <v>17</v>
      </c>
      <c r="B42" s="99" t="s">
        <v>42</v>
      </c>
      <c r="C42" s="101">
        <v>200</v>
      </c>
      <c r="D42" s="101">
        <v>1</v>
      </c>
      <c r="E42" s="105">
        <v>0.94</v>
      </c>
      <c r="F42" s="100">
        <v>0.94</v>
      </c>
      <c r="G42" s="105">
        <v>0</v>
      </c>
      <c r="H42" s="100">
        <f t="shared" ref="H42:L42" si="32">0</f>
        <v>0</v>
      </c>
      <c r="I42" s="100">
        <f t="shared" si="32"/>
        <v>0</v>
      </c>
      <c r="J42" s="100">
        <f t="shared" si="32"/>
        <v>0</v>
      </c>
      <c r="K42" s="100">
        <f t="shared" si="32"/>
        <v>0</v>
      </c>
      <c r="L42" s="100">
        <f t="shared" si="32"/>
        <v>0</v>
      </c>
      <c r="M42" s="100">
        <v>164900.398375</v>
      </c>
      <c r="N42" s="100">
        <v>1492</v>
      </c>
      <c r="O42" s="100">
        <v>324.739999999997</v>
      </c>
      <c r="P42" s="102">
        <v>321.089999999997</v>
      </c>
      <c r="Q42" s="100">
        <v>3.65</v>
      </c>
      <c r="R42" s="100">
        <f t="shared" ref="R42:T42" si="33">E42+J42+O42</f>
        <v>325.679999999997</v>
      </c>
      <c r="S42" s="100">
        <f t="shared" si="33"/>
        <v>322.029999999997</v>
      </c>
      <c r="T42" s="102">
        <f t="shared" si="33"/>
        <v>3.65</v>
      </c>
      <c r="U42" s="98"/>
      <c r="V42" s="133"/>
      <c r="W42" s="134">
        <v>322.429999999997</v>
      </c>
      <c r="X42" s="133">
        <f t="shared" si="8"/>
        <v>-0.399999999999977</v>
      </c>
      <c r="Y42" s="133"/>
      <c r="Z42" s="133"/>
      <c r="AA42" s="133"/>
      <c r="IQ42" s="136"/>
      <c r="IR42" s="136"/>
      <c r="IS42" s="136"/>
      <c r="IT42" s="136"/>
      <c r="IU42" s="136"/>
      <c r="IV42" s="136"/>
    </row>
    <row r="43" s="1" customFormat="1" ht="20" customHeight="1" spans="1:27">
      <c r="A43" s="98">
        <v>18</v>
      </c>
      <c r="B43" s="99" t="s">
        <v>50</v>
      </c>
      <c r="C43" s="101">
        <v>830</v>
      </c>
      <c r="D43" s="101">
        <v>5</v>
      </c>
      <c r="E43" s="105">
        <v>4.15</v>
      </c>
      <c r="F43" s="100">
        <v>4.15</v>
      </c>
      <c r="G43" s="105">
        <v>0</v>
      </c>
      <c r="H43" s="100">
        <v>5420</v>
      </c>
      <c r="I43" s="100">
        <v>6</v>
      </c>
      <c r="J43" s="100">
        <v>24.42</v>
      </c>
      <c r="K43" s="100">
        <v>24.42</v>
      </c>
      <c r="L43" s="100">
        <v>0</v>
      </c>
      <c r="M43" s="100">
        <f t="shared" ref="M43:Q43" si="34">0</f>
        <v>0</v>
      </c>
      <c r="N43" s="100">
        <f t="shared" si="34"/>
        <v>0</v>
      </c>
      <c r="O43" s="100">
        <f t="shared" si="34"/>
        <v>0</v>
      </c>
      <c r="P43" s="102">
        <f t="shared" si="34"/>
        <v>0</v>
      </c>
      <c r="Q43" s="100">
        <f t="shared" si="34"/>
        <v>0</v>
      </c>
      <c r="R43" s="100">
        <f t="shared" ref="R43:T43" si="35">E43+J43+O43</f>
        <v>28.57</v>
      </c>
      <c r="S43" s="100">
        <f t="shared" si="35"/>
        <v>28.57</v>
      </c>
      <c r="T43" s="102">
        <f t="shared" si="35"/>
        <v>0</v>
      </c>
      <c r="U43" s="98"/>
      <c r="V43" s="2"/>
      <c r="W43" s="100">
        <v>28.57</v>
      </c>
      <c r="X43" s="2">
        <f t="shared" si="8"/>
        <v>0</v>
      </c>
      <c r="Y43" s="2"/>
      <c r="Z43" s="2"/>
      <c r="AA43" s="2"/>
    </row>
    <row r="44" s="1" customFormat="1" ht="20" customHeight="1" spans="1:27">
      <c r="A44" s="103" t="s">
        <v>61</v>
      </c>
      <c r="B44" s="104"/>
      <c r="C44" s="102">
        <f t="shared" ref="C44:T44" si="36">SUM(C26:C43)</f>
        <v>246871.78726</v>
      </c>
      <c r="D44" s="102">
        <f t="shared" si="36"/>
        <v>923</v>
      </c>
      <c r="E44" s="102">
        <f t="shared" si="36"/>
        <v>1217.73</v>
      </c>
      <c r="F44" s="102">
        <f t="shared" si="36"/>
        <v>1120.36</v>
      </c>
      <c r="G44" s="102">
        <f t="shared" si="36"/>
        <v>97.37</v>
      </c>
      <c r="H44" s="102">
        <f t="shared" si="36"/>
        <v>73611</v>
      </c>
      <c r="I44" s="102">
        <f t="shared" si="36"/>
        <v>84</v>
      </c>
      <c r="J44" s="102">
        <f t="shared" si="36"/>
        <v>356.26</v>
      </c>
      <c r="K44" s="102">
        <f t="shared" si="36"/>
        <v>293.53</v>
      </c>
      <c r="L44" s="102">
        <f t="shared" si="36"/>
        <v>62.73</v>
      </c>
      <c r="M44" s="102">
        <f t="shared" si="36"/>
        <v>266108.948375</v>
      </c>
      <c r="N44" s="102">
        <f t="shared" si="36"/>
        <v>2487</v>
      </c>
      <c r="O44" s="102">
        <f t="shared" si="36"/>
        <v>517.039999999997</v>
      </c>
      <c r="P44" s="102">
        <f t="shared" si="36"/>
        <v>500.429999999997</v>
      </c>
      <c r="Q44" s="102">
        <f t="shared" si="36"/>
        <v>16.61</v>
      </c>
      <c r="R44" s="102">
        <f t="shared" si="36"/>
        <v>2091.03</v>
      </c>
      <c r="S44" s="102">
        <f t="shared" si="36"/>
        <v>1914.32</v>
      </c>
      <c r="T44" s="102">
        <f t="shared" si="36"/>
        <v>176.71</v>
      </c>
      <c r="U44" s="98"/>
      <c r="V44" s="2"/>
      <c r="W44" s="2"/>
      <c r="X44" s="2"/>
      <c r="Y44" s="2"/>
      <c r="Z44" s="2"/>
      <c r="AA44" s="2"/>
    </row>
    <row r="45" s="1" customFormat="1" ht="45" spans="1:27">
      <c r="A45" s="106" t="s">
        <v>89</v>
      </c>
      <c r="B45" s="107">
        <f>SUM(D44,I44,N44)</f>
        <v>3494</v>
      </c>
      <c r="C45" s="107" t="s">
        <v>90</v>
      </c>
      <c r="D45" s="107"/>
      <c r="E45" s="107">
        <f>SUM(D44,I44)</f>
        <v>1007</v>
      </c>
      <c r="F45" s="107"/>
      <c r="G45" s="107" t="s">
        <v>91</v>
      </c>
      <c r="H45" s="107"/>
      <c r="I45" s="107">
        <f>SUM(F44,K44)</f>
        <v>1413.89</v>
      </c>
      <c r="J45" s="107"/>
      <c r="K45" s="107" t="s">
        <v>92</v>
      </c>
      <c r="L45" s="107"/>
      <c r="M45" s="107">
        <f>SUM(C44,H44)</f>
        <v>320482.78726</v>
      </c>
      <c r="N45" s="107"/>
      <c r="O45" s="107"/>
      <c r="P45" s="107"/>
      <c r="Q45" s="107"/>
      <c r="R45" s="107"/>
      <c r="S45" s="107"/>
      <c r="T45" s="107"/>
      <c r="U45" s="78"/>
      <c r="V45" s="2"/>
      <c r="W45" s="2"/>
      <c r="X45" s="2"/>
      <c r="Y45" s="2"/>
      <c r="Z45" s="2"/>
      <c r="AA45" s="2"/>
    </row>
    <row r="46" s="1" customFormat="1" spans="1:27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35"/>
      <c r="V46" s="2"/>
      <c r="W46" s="2"/>
      <c r="X46" s="2"/>
      <c r="Y46" s="2"/>
      <c r="Z46" s="2"/>
      <c r="AA46" s="2"/>
    </row>
    <row r="47" s="1" customFormat="1" spans="1:27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2"/>
      <c r="W47" s="2"/>
      <c r="X47" s="2"/>
      <c r="Y47" s="2"/>
      <c r="Z47" s="2"/>
      <c r="AA47" s="2"/>
    </row>
    <row r="48" s="1" customFormat="1" spans="3:27">
      <c r="C48" s="6"/>
      <c r="D48" s="86"/>
      <c r="E48" s="6"/>
      <c r="F48" s="6"/>
      <c r="G48" s="6"/>
      <c r="H48" s="6"/>
      <c r="I48" s="86"/>
      <c r="J48" s="6"/>
      <c r="K48" s="119" t="s">
        <v>94</v>
      </c>
      <c r="L48" s="119"/>
      <c r="M48" s="8"/>
      <c r="N48" s="119" t="s">
        <v>95</v>
      </c>
      <c r="O48" s="119"/>
      <c r="P48" s="8"/>
      <c r="Q48" s="8"/>
      <c r="R48" s="11"/>
      <c r="S48" s="11"/>
      <c r="T48" s="11"/>
      <c r="V48" s="2"/>
      <c r="W48" s="2"/>
      <c r="X48" s="2"/>
      <c r="Y48" s="2"/>
      <c r="Z48" s="2"/>
      <c r="AA48" s="2"/>
    </row>
    <row r="49" s="1" customFormat="1" spans="3:27">
      <c r="C49" s="6"/>
      <c r="D49" s="86"/>
      <c r="E49" s="6"/>
      <c r="F49" s="6"/>
      <c r="G49" s="110" t="s">
        <v>82</v>
      </c>
      <c r="H49" s="110" t="s">
        <v>67</v>
      </c>
      <c r="I49" s="120" t="s">
        <v>97</v>
      </c>
      <c r="J49" s="110" t="s">
        <v>98</v>
      </c>
      <c r="K49" s="110" t="s">
        <v>72</v>
      </c>
      <c r="L49" s="110" t="s">
        <v>73</v>
      </c>
      <c r="N49" s="121" t="s">
        <v>72</v>
      </c>
      <c r="O49" s="122" t="s">
        <v>73</v>
      </c>
      <c r="P49" s="8"/>
      <c r="Q49" s="8"/>
      <c r="R49" s="11"/>
      <c r="S49" s="11"/>
      <c r="T49" s="11"/>
      <c r="V49" s="2"/>
      <c r="W49" s="2"/>
      <c r="X49" s="2"/>
      <c r="Y49" s="2"/>
      <c r="Z49" s="2"/>
      <c r="AA49" s="2"/>
    </row>
    <row r="50" s="1" customFormat="1" spans="3:27">
      <c r="C50" s="6"/>
      <c r="D50" s="86"/>
      <c r="E50" s="6"/>
      <c r="F50" s="6"/>
      <c r="G50" s="110">
        <v>500</v>
      </c>
      <c r="H50" s="111">
        <f>+D22</f>
        <v>923</v>
      </c>
      <c r="I50" s="111">
        <f>+C22</f>
        <v>246871.78726</v>
      </c>
      <c r="J50" s="111">
        <f>+E22</f>
        <v>1217.73</v>
      </c>
      <c r="K50" s="111">
        <f>+G22</f>
        <v>83.08</v>
      </c>
      <c r="L50" s="111">
        <f t="shared" ref="L50:L54" si="37">+J50-K50</f>
        <v>1134.65</v>
      </c>
      <c r="M50" s="123"/>
      <c r="N50" s="124">
        <f>83.08+14.29</f>
        <v>97.37</v>
      </c>
      <c r="O50" s="124">
        <f>1217.73-N50</f>
        <v>1120.36</v>
      </c>
      <c r="P50" s="8"/>
      <c r="Q50" s="8"/>
      <c r="R50" s="11"/>
      <c r="S50" s="11"/>
      <c r="T50" s="11"/>
      <c r="V50" s="2"/>
      <c r="W50" s="2"/>
      <c r="X50" s="2"/>
      <c r="Y50" s="2"/>
      <c r="Z50" s="2"/>
      <c r="AA50" s="2"/>
    </row>
    <row r="51" s="1" customFormat="1" spans="3:27">
      <c r="C51" s="6"/>
      <c r="D51" s="86"/>
      <c r="E51" s="6"/>
      <c r="F51" s="6"/>
      <c r="G51" s="110" t="s">
        <v>83</v>
      </c>
      <c r="H51" s="111">
        <f>+I22</f>
        <v>84</v>
      </c>
      <c r="I51" s="111">
        <f>+H22</f>
        <v>73611</v>
      </c>
      <c r="J51" s="111">
        <f>+J22</f>
        <v>356.26</v>
      </c>
      <c r="K51" s="111">
        <f>+L22</f>
        <v>62.73</v>
      </c>
      <c r="L51" s="111">
        <f t="shared" si="37"/>
        <v>293.53</v>
      </c>
      <c r="M51" s="123"/>
      <c r="N51" s="124">
        <v>62.73</v>
      </c>
      <c r="O51" s="124">
        <f>356.26-N51</f>
        <v>293.53</v>
      </c>
      <c r="P51" s="8"/>
      <c r="Q51" s="8"/>
      <c r="R51" s="11"/>
      <c r="S51" s="11"/>
      <c r="T51" s="11"/>
      <c r="V51" s="2"/>
      <c r="W51" s="2"/>
      <c r="X51" s="2"/>
      <c r="Y51" s="2"/>
      <c r="Z51" s="2"/>
      <c r="AA51" s="2"/>
    </row>
    <row r="52" s="1" customFormat="1" spans="3:27">
      <c r="C52" s="6"/>
      <c r="D52" s="86"/>
      <c r="E52" s="6"/>
      <c r="F52" s="6"/>
      <c r="G52" s="112" t="s">
        <v>99</v>
      </c>
      <c r="H52" s="113">
        <f t="shared" ref="H52:L52" si="38">+H50+H51</f>
        <v>1007</v>
      </c>
      <c r="I52" s="113">
        <f t="shared" si="38"/>
        <v>320482.78726</v>
      </c>
      <c r="J52" s="113">
        <f t="shared" si="38"/>
        <v>1573.99</v>
      </c>
      <c r="K52" s="113">
        <f t="shared" si="38"/>
        <v>145.81</v>
      </c>
      <c r="L52" s="113">
        <f t="shared" si="38"/>
        <v>1428.18</v>
      </c>
      <c r="M52" s="123"/>
      <c r="N52" s="124">
        <f>+N50+N51</f>
        <v>160.1</v>
      </c>
      <c r="O52" s="124">
        <f>+O50+O51</f>
        <v>1413.89</v>
      </c>
      <c r="P52" s="8"/>
      <c r="Q52" s="8"/>
      <c r="R52" s="11"/>
      <c r="S52" s="11"/>
      <c r="T52" s="11"/>
      <c r="V52" s="2"/>
      <c r="W52" s="2"/>
      <c r="X52" s="2"/>
      <c r="Y52" s="2"/>
      <c r="Z52" s="2"/>
      <c r="AA52" s="2"/>
    </row>
    <row r="53" s="1" customFormat="1" spans="3:27">
      <c r="C53" s="6"/>
      <c r="D53" s="86"/>
      <c r="E53" s="6"/>
      <c r="F53" s="6"/>
      <c r="G53" s="110"/>
      <c r="H53" s="111"/>
      <c r="I53" s="111"/>
      <c r="J53" s="111"/>
      <c r="K53" s="111"/>
      <c r="L53" s="111"/>
      <c r="M53" s="123"/>
      <c r="N53" s="124"/>
      <c r="O53" s="124"/>
      <c r="P53" s="8"/>
      <c r="Q53" s="8"/>
      <c r="R53" s="11"/>
      <c r="S53" s="11"/>
      <c r="T53" s="11"/>
      <c r="V53" s="2"/>
      <c r="W53" s="2"/>
      <c r="X53" s="2"/>
      <c r="Y53" s="2"/>
      <c r="Z53" s="2"/>
      <c r="AA53" s="2"/>
    </row>
    <row r="54" s="1" customFormat="1" spans="3:27">
      <c r="C54" s="6"/>
      <c r="D54" s="86"/>
      <c r="E54" s="6"/>
      <c r="F54" s="6"/>
      <c r="G54" s="110" t="s">
        <v>79</v>
      </c>
      <c r="H54" s="111">
        <f>+N22</f>
        <v>2487</v>
      </c>
      <c r="I54" s="111">
        <f>+M22</f>
        <v>266108.948375</v>
      </c>
      <c r="J54" s="111">
        <f>+O22</f>
        <v>517.039999999997</v>
      </c>
      <c r="K54" s="111">
        <f>+Q22</f>
        <v>16.21</v>
      </c>
      <c r="L54" s="111">
        <f t="shared" si="37"/>
        <v>500.829999999997</v>
      </c>
      <c r="M54" s="123"/>
      <c r="N54" s="124">
        <f>16.21+J66</f>
        <v>16.61</v>
      </c>
      <c r="O54" s="124">
        <f>517.04-N54</f>
        <v>500.43</v>
      </c>
      <c r="P54" s="8"/>
      <c r="Q54" s="8"/>
      <c r="R54" s="11"/>
      <c r="S54" s="11"/>
      <c r="T54" s="11"/>
      <c r="V54" s="2"/>
      <c r="W54" s="2"/>
      <c r="X54" s="2"/>
      <c r="Y54" s="2"/>
      <c r="Z54" s="2"/>
      <c r="AA54" s="2"/>
    </row>
    <row r="55" s="1" customFormat="1" spans="3:27">
      <c r="C55" s="6"/>
      <c r="D55" s="86"/>
      <c r="E55" s="6"/>
      <c r="F55" s="6"/>
      <c r="G55" s="110"/>
      <c r="H55" s="111"/>
      <c r="I55" s="111"/>
      <c r="J55" s="111"/>
      <c r="K55" s="111"/>
      <c r="L55" s="111"/>
      <c r="M55" s="123"/>
      <c r="N55" s="124"/>
      <c r="O55" s="124"/>
      <c r="P55" s="8"/>
      <c r="Q55" s="8"/>
      <c r="R55" s="11"/>
      <c r="S55" s="11"/>
      <c r="T55" s="11"/>
      <c r="V55" s="2"/>
      <c r="W55" s="2"/>
      <c r="X55" s="2"/>
      <c r="Y55" s="2"/>
      <c r="Z55" s="2"/>
      <c r="AA55" s="2"/>
    </row>
    <row r="56" s="1" customFormat="1" spans="3:27">
      <c r="C56" s="6"/>
      <c r="D56" s="86"/>
      <c r="E56" s="6"/>
      <c r="F56" s="6"/>
      <c r="G56" s="112" t="s">
        <v>61</v>
      </c>
      <c r="H56" s="113">
        <f t="shared" ref="H56:L56" si="39">+H52+H54</f>
        <v>3494</v>
      </c>
      <c r="I56" s="113">
        <f t="shared" si="39"/>
        <v>586591.735635</v>
      </c>
      <c r="J56" s="113">
        <f t="shared" si="39"/>
        <v>2091.03</v>
      </c>
      <c r="K56" s="113">
        <f t="shared" si="39"/>
        <v>162.02</v>
      </c>
      <c r="L56" s="113">
        <f t="shared" si="39"/>
        <v>1929.01</v>
      </c>
      <c r="M56" s="123"/>
      <c r="N56" s="124">
        <f>+N52+N54</f>
        <v>176.71</v>
      </c>
      <c r="O56" s="124">
        <f>+O52+O54</f>
        <v>1914.32</v>
      </c>
      <c r="P56" s="8"/>
      <c r="Q56" s="8"/>
      <c r="R56" s="11"/>
      <c r="S56" s="11"/>
      <c r="T56" s="11"/>
      <c r="V56" s="2"/>
      <c r="W56" s="2"/>
      <c r="X56" s="2"/>
      <c r="Y56" s="2"/>
      <c r="Z56" s="2"/>
      <c r="AA56" s="2"/>
    </row>
    <row r="57" s="1" customFormat="1" spans="3:27">
      <c r="C57" s="6"/>
      <c r="D57" s="86"/>
      <c r="E57" s="6"/>
      <c r="F57" s="6"/>
      <c r="G57" s="114"/>
      <c r="H57" s="114"/>
      <c r="I57" s="125"/>
      <c r="J57" s="114"/>
      <c r="K57" s="114"/>
      <c r="L57" s="114"/>
      <c r="M57" s="126"/>
      <c r="N57" s="127"/>
      <c r="O57" s="127"/>
      <c r="P57" s="8"/>
      <c r="Q57" s="8"/>
      <c r="R57" s="11"/>
      <c r="S57" s="11"/>
      <c r="T57" s="11"/>
      <c r="V57" s="2"/>
      <c r="W57" s="2"/>
      <c r="X57" s="2"/>
      <c r="Y57" s="2"/>
      <c r="Z57" s="2"/>
      <c r="AA57" s="2"/>
    </row>
    <row r="58" s="1" customFormat="1" spans="3:27">
      <c r="C58" s="6"/>
      <c r="D58" s="86"/>
      <c r="E58" s="6"/>
      <c r="F58" s="6"/>
      <c r="G58" s="114"/>
      <c r="H58" s="114"/>
      <c r="I58" s="125"/>
      <c r="J58" s="114"/>
      <c r="K58" s="114"/>
      <c r="L58" s="114"/>
      <c r="M58" s="126"/>
      <c r="N58" s="127"/>
      <c r="O58" s="127"/>
      <c r="P58" s="8"/>
      <c r="Q58" s="8"/>
      <c r="R58" s="11"/>
      <c r="S58" s="11"/>
      <c r="T58" s="11"/>
      <c r="V58" s="2"/>
      <c r="W58" s="2"/>
      <c r="X58" s="2"/>
      <c r="Y58" s="2"/>
      <c r="Z58" s="2"/>
      <c r="AA58" s="2"/>
    </row>
    <row r="59" s="1" customFormat="1" spans="3:27">
      <c r="C59" s="6"/>
      <c r="D59" s="86"/>
      <c r="E59" s="6"/>
      <c r="F59" s="6"/>
      <c r="G59" s="114"/>
      <c r="H59" s="114"/>
      <c r="I59" s="125"/>
      <c r="J59" s="114"/>
      <c r="K59" s="114"/>
      <c r="L59" s="114"/>
      <c r="M59" s="126"/>
      <c r="N59" s="127"/>
      <c r="O59" s="127"/>
      <c r="P59" s="8"/>
      <c r="Q59" s="8"/>
      <c r="R59" s="11"/>
      <c r="S59" s="11"/>
      <c r="T59" s="11"/>
      <c r="V59" s="2"/>
      <c r="W59" s="2"/>
      <c r="X59" s="2"/>
      <c r="Y59" s="2"/>
      <c r="Z59" s="2"/>
      <c r="AA59" s="2"/>
    </row>
    <row r="60" s="1" customFormat="1" spans="3:27">
      <c r="C60" s="6"/>
      <c r="D60" s="86"/>
      <c r="E60" s="6"/>
      <c r="F60" s="6"/>
      <c r="G60" s="114"/>
      <c r="H60" s="114"/>
      <c r="I60" s="125"/>
      <c r="J60" s="114"/>
      <c r="K60" s="114"/>
      <c r="L60" s="114"/>
      <c r="M60" s="126"/>
      <c r="N60" s="127"/>
      <c r="O60" s="127"/>
      <c r="P60" s="8"/>
      <c r="Q60" s="8"/>
      <c r="R60" s="11"/>
      <c r="S60" s="11"/>
      <c r="T60" s="11"/>
      <c r="V60" s="2"/>
      <c r="W60" s="2"/>
      <c r="X60" s="2"/>
      <c r="Y60" s="2"/>
      <c r="Z60" s="2"/>
      <c r="AA60" s="2"/>
    </row>
    <row r="61" s="1" customFormat="1" spans="3:27">
      <c r="C61" s="6"/>
      <c r="D61" s="86"/>
      <c r="E61" s="6"/>
      <c r="F61" s="6"/>
      <c r="G61" s="114"/>
      <c r="H61" s="114"/>
      <c r="I61" s="125"/>
      <c r="J61" s="114"/>
      <c r="K61" s="114"/>
      <c r="L61" s="114"/>
      <c r="M61" s="126"/>
      <c r="N61" s="127"/>
      <c r="O61" s="127"/>
      <c r="P61" s="8"/>
      <c r="Q61" s="8"/>
      <c r="R61" s="11"/>
      <c r="S61" s="11"/>
      <c r="T61" s="11"/>
      <c r="V61" s="2"/>
      <c r="W61" s="2"/>
      <c r="X61" s="2"/>
      <c r="Y61" s="2"/>
      <c r="Z61" s="2"/>
      <c r="AA61" s="2"/>
    </row>
    <row r="62" s="1" customFormat="1" spans="3:27">
      <c r="C62" s="6"/>
      <c r="D62" s="86"/>
      <c r="E62" s="6"/>
      <c r="F62" s="6"/>
      <c r="G62" s="56" t="s">
        <v>72</v>
      </c>
      <c r="H62" s="56" t="s">
        <v>82</v>
      </c>
      <c r="I62" s="56"/>
      <c r="J62" s="56" t="s">
        <v>79</v>
      </c>
      <c r="K62" s="56" t="s">
        <v>61</v>
      </c>
      <c r="L62" s="114"/>
      <c r="M62" s="126"/>
      <c r="N62" s="128"/>
      <c r="O62" s="126"/>
      <c r="P62" s="8"/>
      <c r="Q62" s="8"/>
      <c r="R62" s="11"/>
      <c r="S62" s="11"/>
      <c r="T62" s="11"/>
      <c r="V62" s="2"/>
      <c r="W62" s="2"/>
      <c r="X62" s="2"/>
      <c r="Y62" s="2"/>
      <c r="Z62" s="2"/>
      <c r="AA62" s="2"/>
    </row>
    <row r="63" spans="7:11">
      <c r="G63" s="56"/>
      <c r="H63" s="57">
        <v>500</v>
      </c>
      <c r="I63" s="57" t="s">
        <v>83</v>
      </c>
      <c r="J63" s="56"/>
      <c r="K63" s="56"/>
    </row>
    <row r="64" spans="7:11">
      <c r="G64" s="58" t="s">
        <v>84</v>
      </c>
      <c r="H64" s="57">
        <v>7.78</v>
      </c>
      <c r="I64" s="57">
        <v>4</v>
      </c>
      <c r="J64" s="57">
        <v>1.17</v>
      </c>
      <c r="K64" s="57">
        <v>12.95</v>
      </c>
    </row>
    <row r="65" spans="7:11">
      <c r="G65" s="58" t="s">
        <v>85</v>
      </c>
      <c r="H65" s="57"/>
      <c r="I65" s="57"/>
      <c r="J65" s="57">
        <v>0.14</v>
      </c>
      <c r="K65" s="57">
        <v>0.14</v>
      </c>
    </row>
    <row r="66" spans="7:11">
      <c r="G66" s="58" t="s">
        <v>86</v>
      </c>
      <c r="H66" s="57">
        <v>14.29</v>
      </c>
      <c r="I66" s="57"/>
      <c r="J66" s="57">
        <v>0.4</v>
      </c>
      <c r="K66" s="57">
        <v>14.69</v>
      </c>
    </row>
  </sheetData>
  <mergeCells count="34">
    <mergeCell ref="A1:U1"/>
    <mergeCell ref="C2:L2"/>
    <mergeCell ref="M2:Q2"/>
    <mergeCell ref="A22:B22"/>
    <mergeCell ref="C24:L24"/>
    <mergeCell ref="M24:Q24"/>
    <mergeCell ref="A44:B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K48:L48"/>
    <mergeCell ref="N48:O48"/>
    <mergeCell ref="H62:I62"/>
    <mergeCell ref="A2:A3"/>
    <mergeCell ref="A24:A25"/>
    <mergeCell ref="B2:B3"/>
    <mergeCell ref="B24:B25"/>
    <mergeCell ref="G62:G63"/>
    <mergeCell ref="J62:J63"/>
    <mergeCell ref="K62:K63"/>
    <mergeCell ref="R2:R3"/>
    <mergeCell ref="R24:R25"/>
    <mergeCell ref="S2:S3"/>
    <mergeCell ref="S24:S25"/>
    <mergeCell ref="T2:T3"/>
    <mergeCell ref="T24:T25"/>
    <mergeCell ref="U2:U3"/>
    <mergeCell ref="U24:U25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58"/>
  <sheetViews>
    <sheetView topLeftCell="C1" workbookViewId="0">
      <selection activeCell="L52" sqref="L52"/>
    </sheetView>
  </sheetViews>
  <sheetFormatPr defaultColWidth="8.88333333333333" defaultRowHeight="13.5"/>
  <cols>
    <col min="1" max="1" width="5.28333333333333" style="1" customWidth="1"/>
    <col min="2" max="2" width="34.0583333333333" style="5" customWidth="1"/>
    <col min="3" max="3" width="14.5" style="6" customWidth="1"/>
    <col min="4" max="4" width="6.7" style="7" customWidth="1"/>
    <col min="5" max="5" width="11.6416666666667" style="6" customWidth="1"/>
    <col min="6" max="6" width="9.3" style="6" customWidth="1"/>
    <col min="7" max="7" width="11.3" style="6" customWidth="1"/>
    <col min="8" max="8" width="10" style="6" customWidth="1"/>
    <col min="9" max="9" width="13.0583333333333" style="7" customWidth="1"/>
    <col min="10" max="10" width="9.88333333333333" style="6" customWidth="1"/>
    <col min="11" max="11" width="9.7" style="6" customWidth="1"/>
    <col min="12" max="12" width="13.5833333333333" style="6" customWidth="1"/>
    <col min="13" max="13" width="14.75" style="8" customWidth="1"/>
    <col min="14" max="14" width="10.125" style="9" customWidth="1"/>
    <col min="15" max="15" width="11.3583333333333" style="8" customWidth="1"/>
    <col min="16" max="16" width="9.3" style="10" customWidth="1"/>
    <col min="17" max="17" width="10.3" style="8" customWidth="1"/>
    <col min="18" max="18" width="11.0583333333333" style="11" customWidth="1"/>
    <col min="19" max="19" width="11" style="11" customWidth="1"/>
    <col min="20" max="20" width="10.475" style="11" customWidth="1"/>
    <col min="21" max="21" width="9.375" style="12" customWidth="1"/>
    <col min="22" max="16384" width="8.88333333333333" style="1"/>
  </cols>
  <sheetData>
    <row r="1" s="1" customFormat="1" ht="33.75" spans="1:21">
      <c r="A1" s="13" t="s">
        <v>100</v>
      </c>
      <c r="B1" s="13"/>
      <c r="C1" s="14"/>
      <c r="D1" s="13"/>
      <c r="E1" s="14"/>
      <c r="F1" s="14"/>
      <c r="G1" s="14"/>
      <c r="H1" s="14"/>
      <c r="I1" s="13"/>
      <c r="J1" s="14"/>
      <c r="K1" s="14"/>
      <c r="L1" s="14"/>
      <c r="M1" s="14"/>
      <c r="N1" s="13"/>
      <c r="O1" s="14"/>
      <c r="P1" s="14"/>
      <c r="Q1" s="14"/>
      <c r="R1" s="14"/>
      <c r="S1" s="14"/>
      <c r="T1" s="14"/>
      <c r="U1" s="13"/>
    </row>
    <row r="2" s="2" customFormat="1" ht="39.75" hidden="1" customHeight="1" spans="1:21">
      <c r="A2" s="15" t="s">
        <v>2</v>
      </c>
      <c r="B2" s="16" t="s">
        <v>63</v>
      </c>
      <c r="C2" s="17" t="s">
        <v>4</v>
      </c>
      <c r="D2" s="18"/>
      <c r="E2" s="19"/>
      <c r="F2" s="19"/>
      <c r="G2" s="19"/>
      <c r="H2" s="19"/>
      <c r="I2" s="18"/>
      <c r="J2" s="19"/>
      <c r="K2" s="19"/>
      <c r="L2" s="19"/>
      <c r="M2" s="17" t="s">
        <v>5</v>
      </c>
      <c r="N2" s="18"/>
      <c r="O2" s="19"/>
      <c r="P2" s="19"/>
      <c r="Q2" s="19"/>
      <c r="R2" s="17" t="s">
        <v>64</v>
      </c>
      <c r="S2" s="17" t="s">
        <v>65</v>
      </c>
      <c r="T2" s="17" t="s">
        <v>8</v>
      </c>
      <c r="U2" s="20" t="s">
        <v>9</v>
      </c>
    </row>
    <row r="3" s="2" customFormat="1" ht="63.75" hidden="1" customHeight="1" spans="1:21">
      <c r="A3" s="16"/>
      <c r="B3" s="16"/>
      <c r="C3" s="19" t="s">
        <v>66</v>
      </c>
      <c r="D3" s="20" t="s">
        <v>67</v>
      </c>
      <c r="E3" s="17" t="s">
        <v>11</v>
      </c>
      <c r="F3" s="17" t="s">
        <v>12</v>
      </c>
      <c r="G3" s="17" t="s">
        <v>13</v>
      </c>
      <c r="H3" s="19" t="s">
        <v>68</v>
      </c>
      <c r="I3" s="20" t="s">
        <v>67</v>
      </c>
      <c r="J3" s="17" t="s">
        <v>11</v>
      </c>
      <c r="K3" s="17" t="s">
        <v>12</v>
      </c>
      <c r="L3" s="17" t="s">
        <v>13</v>
      </c>
      <c r="M3" s="17" t="s">
        <v>15</v>
      </c>
      <c r="N3" s="20" t="s">
        <v>67</v>
      </c>
      <c r="O3" s="17" t="s">
        <v>11</v>
      </c>
      <c r="P3" s="17" t="s">
        <v>12</v>
      </c>
      <c r="Q3" s="17" t="s">
        <v>13</v>
      </c>
      <c r="R3" s="19"/>
      <c r="S3" s="19"/>
      <c r="T3" s="19"/>
      <c r="U3" s="18"/>
    </row>
    <row r="4" s="1" customFormat="1" ht="15" hidden="1" spans="1:23">
      <c r="A4" s="16">
        <v>1</v>
      </c>
      <c r="B4" s="21" t="s">
        <v>51</v>
      </c>
      <c r="C4" s="22">
        <v>31222.35</v>
      </c>
      <c r="D4" s="23">
        <v>238</v>
      </c>
      <c r="E4" s="22">
        <v>155.72</v>
      </c>
      <c r="F4" s="22">
        <f t="shared" ref="F4:F16" si="0">E4-G4</f>
        <v>132.42</v>
      </c>
      <c r="G4" s="24">
        <v>23.3</v>
      </c>
      <c r="H4" s="22"/>
      <c r="I4" s="23"/>
      <c r="J4" s="22"/>
      <c r="K4" s="22"/>
      <c r="L4" s="22"/>
      <c r="M4" s="22">
        <v>29374.95</v>
      </c>
      <c r="N4" s="23">
        <v>214</v>
      </c>
      <c r="O4" s="22">
        <v>57.65</v>
      </c>
      <c r="P4" s="25">
        <f t="shared" ref="P4:P16" si="1">O4-Q4</f>
        <v>56.65</v>
      </c>
      <c r="Q4" s="25">
        <v>1</v>
      </c>
      <c r="R4" s="25">
        <f t="shared" ref="R4:T4" si="2">E4+J4+O4</f>
        <v>213.37</v>
      </c>
      <c r="S4" s="25">
        <f t="shared" si="2"/>
        <v>189.07</v>
      </c>
      <c r="T4" s="25">
        <f t="shared" si="2"/>
        <v>24.3</v>
      </c>
      <c r="U4" s="74"/>
      <c r="V4" s="1">
        <f>+W4-S4</f>
        <v>-0.139999999999986</v>
      </c>
      <c r="W4" s="1">
        <v>188.93</v>
      </c>
    </row>
    <row r="5" s="1" customFormat="1" ht="15" hidden="1" spans="1:23">
      <c r="A5" s="16">
        <v>2</v>
      </c>
      <c r="B5" s="21" t="s">
        <v>34</v>
      </c>
      <c r="C5" s="22">
        <v>7562</v>
      </c>
      <c r="D5" s="23">
        <v>32</v>
      </c>
      <c r="E5" s="22">
        <v>36.64</v>
      </c>
      <c r="F5" s="22">
        <f t="shared" si="0"/>
        <v>33.14</v>
      </c>
      <c r="G5" s="24">
        <v>3.5</v>
      </c>
      <c r="H5" s="22">
        <v>3460</v>
      </c>
      <c r="I5" s="23">
        <v>4</v>
      </c>
      <c r="J5" s="22">
        <v>14.77</v>
      </c>
      <c r="K5" s="22">
        <v>14.77</v>
      </c>
      <c r="L5" s="22"/>
      <c r="M5" s="22">
        <v>47417.1</v>
      </c>
      <c r="N5" s="23">
        <v>446</v>
      </c>
      <c r="O5" s="22">
        <v>77.17</v>
      </c>
      <c r="P5" s="25">
        <f t="shared" si="1"/>
        <v>74.71</v>
      </c>
      <c r="Q5" s="25">
        <v>2.46</v>
      </c>
      <c r="R5" s="25">
        <f t="shared" ref="R5:T5" si="3">E5+J5+O5</f>
        <v>128.58</v>
      </c>
      <c r="S5" s="25">
        <f t="shared" si="3"/>
        <v>122.62</v>
      </c>
      <c r="T5" s="25">
        <f t="shared" si="3"/>
        <v>5.96</v>
      </c>
      <c r="U5" s="74"/>
      <c r="V5" s="1">
        <f t="shared" ref="V5:V16" si="4">+W5-S5</f>
        <v>0</v>
      </c>
      <c r="W5" s="1">
        <v>122.62</v>
      </c>
    </row>
    <row r="6" s="1" customFormat="1" ht="15" hidden="1" spans="1:23">
      <c r="A6" s="16">
        <v>3</v>
      </c>
      <c r="B6" s="21" t="s">
        <v>36</v>
      </c>
      <c r="C6" s="22">
        <v>5257.889271</v>
      </c>
      <c r="D6" s="23">
        <v>22</v>
      </c>
      <c r="E6" s="22">
        <v>23.93</v>
      </c>
      <c r="F6" s="22">
        <f t="shared" si="0"/>
        <v>23.86</v>
      </c>
      <c r="G6" s="24">
        <v>0.07</v>
      </c>
      <c r="H6" s="22">
        <v>700</v>
      </c>
      <c r="I6" s="23">
        <v>1</v>
      </c>
      <c r="J6" s="22">
        <v>3.5</v>
      </c>
      <c r="K6" s="22">
        <v>3.5</v>
      </c>
      <c r="L6" s="22"/>
      <c r="M6" s="22"/>
      <c r="N6" s="23"/>
      <c r="O6" s="22"/>
      <c r="P6" s="25">
        <f t="shared" si="1"/>
        <v>0</v>
      </c>
      <c r="Q6" s="25"/>
      <c r="R6" s="25">
        <f t="shared" ref="R6:T6" si="5">E6+J6+O6</f>
        <v>27.43</v>
      </c>
      <c r="S6" s="25">
        <f t="shared" si="5"/>
        <v>27.36</v>
      </c>
      <c r="T6" s="25">
        <f t="shared" si="5"/>
        <v>0.07</v>
      </c>
      <c r="U6" s="74"/>
      <c r="V6" s="1">
        <f t="shared" si="4"/>
        <v>0</v>
      </c>
      <c r="W6" s="1">
        <v>27.36</v>
      </c>
    </row>
    <row r="7" s="1" customFormat="1" ht="15" hidden="1" spans="1:23">
      <c r="A7" s="16">
        <v>4</v>
      </c>
      <c r="B7" s="21" t="s">
        <v>16</v>
      </c>
      <c r="C7" s="22">
        <v>35721</v>
      </c>
      <c r="D7" s="23">
        <v>118</v>
      </c>
      <c r="E7" s="22">
        <v>173.09</v>
      </c>
      <c r="F7" s="22">
        <f t="shared" si="0"/>
        <v>166.28</v>
      </c>
      <c r="G7" s="24">
        <v>6.81</v>
      </c>
      <c r="H7" s="22">
        <v>15685</v>
      </c>
      <c r="I7" s="23">
        <v>17</v>
      </c>
      <c r="J7" s="22">
        <v>66.57</v>
      </c>
      <c r="K7" s="22">
        <f>J7-L7</f>
        <v>59.11</v>
      </c>
      <c r="L7" s="22">
        <v>7.46</v>
      </c>
      <c r="M7" s="22">
        <v>145313.2</v>
      </c>
      <c r="N7" s="23">
        <v>2052</v>
      </c>
      <c r="O7" s="22">
        <v>290.709999999997</v>
      </c>
      <c r="P7" s="25">
        <f t="shared" si="1"/>
        <v>290.709999999997</v>
      </c>
      <c r="Q7" s="25"/>
      <c r="R7" s="25">
        <f t="shared" ref="R7:T7" si="6">E7+J7+O7</f>
        <v>530.369999999997</v>
      </c>
      <c r="S7" s="25">
        <f t="shared" si="6"/>
        <v>516.099999999997</v>
      </c>
      <c r="T7" s="25">
        <f t="shared" si="6"/>
        <v>14.27</v>
      </c>
      <c r="U7" s="74"/>
      <c r="V7" s="1">
        <f t="shared" si="4"/>
        <v>0</v>
      </c>
      <c r="W7" s="1">
        <v>516.099999999997</v>
      </c>
    </row>
    <row r="8" s="1" customFormat="1" ht="15" hidden="1" spans="1:23">
      <c r="A8" s="16">
        <v>5</v>
      </c>
      <c r="B8" s="21" t="s">
        <v>47</v>
      </c>
      <c r="C8" s="22">
        <v>1604</v>
      </c>
      <c r="D8" s="23">
        <v>8</v>
      </c>
      <c r="E8" s="22">
        <v>8.02</v>
      </c>
      <c r="F8" s="22">
        <f t="shared" si="0"/>
        <v>8.02</v>
      </c>
      <c r="G8" s="24"/>
      <c r="H8" s="22">
        <v>950</v>
      </c>
      <c r="I8" s="23">
        <v>1</v>
      </c>
      <c r="J8" s="22">
        <v>4.75</v>
      </c>
      <c r="K8" s="22">
        <v>4.75</v>
      </c>
      <c r="L8" s="22"/>
      <c r="M8" s="22"/>
      <c r="N8" s="23"/>
      <c r="O8" s="22"/>
      <c r="P8" s="25">
        <f t="shared" si="1"/>
        <v>0</v>
      </c>
      <c r="Q8" s="25"/>
      <c r="R8" s="25">
        <f t="shared" ref="R8:T8" si="7">E8+J8+O8</f>
        <v>12.77</v>
      </c>
      <c r="S8" s="25">
        <f t="shared" si="7"/>
        <v>12.77</v>
      </c>
      <c r="T8" s="25">
        <f t="shared" si="7"/>
        <v>0</v>
      </c>
      <c r="U8" s="75"/>
      <c r="V8" s="1">
        <f t="shared" si="4"/>
        <v>0</v>
      </c>
      <c r="W8" s="1">
        <v>12.77</v>
      </c>
    </row>
    <row r="9" s="1" customFormat="1" ht="15" hidden="1" spans="1:23">
      <c r="A9" s="16">
        <v>6</v>
      </c>
      <c r="B9" s="21" t="s">
        <v>54</v>
      </c>
      <c r="C9" s="22">
        <v>490</v>
      </c>
      <c r="D9" s="23">
        <v>1</v>
      </c>
      <c r="E9" s="22">
        <v>2.45</v>
      </c>
      <c r="F9" s="22">
        <f t="shared" si="0"/>
        <v>2.45</v>
      </c>
      <c r="G9" s="24"/>
      <c r="H9" s="22">
        <v>1700</v>
      </c>
      <c r="I9" s="23">
        <v>2</v>
      </c>
      <c r="J9" s="22">
        <v>8.5</v>
      </c>
      <c r="K9" s="22">
        <v>8.5</v>
      </c>
      <c r="L9" s="22"/>
      <c r="M9" s="22"/>
      <c r="N9" s="23"/>
      <c r="O9" s="22"/>
      <c r="P9" s="25">
        <f t="shared" si="1"/>
        <v>0</v>
      </c>
      <c r="Q9" s="25"/>
      <c r="R9" s="25">
        <f t="shared" ref="R9:T9" si="8">E9+J9+O9</f>
        <v>10.95</v>
      </c>
      <c r="S9" s="25">
        <f t="shared" si="8"/>
        <v>10.95</v>
      </c>
      <c r="T9" s="25">
        <f t="shared" si="8"/>
        <v>0</v>
      </c>
      <c r="U9" s="75"/>
      <c r="V9" s="1">
        <f t="shared" si="4"/>
        <v>0</v>
      </c>
      <c r="W9" s="1">
        <v>10.95</v>
      </c>
    </row>
    <row r="10" s="1" customFormat="1" ht="15" hidden="1" spans="1:23">
      <c r="A10" s="16">
        <v>7</v>
      </c>
      <c r="B10" s="21" t="s">
        <v>60</v>
      </c>
      <c r="C10" s="22">
        <v>900</v>
      </c>
      <c r="D10" s="23">
        <v>2</v>
      </c>
      <c r="E10" s="22">
        <v>4.48</v>
      </c>
      <c r="F10" s="22">
        <f t="shared" si="0"/>
        <v>4.48</v>
      </c>
      <c r="G10" s="24"/>
      <c r="H10" s="22"/>
      <c r="I10" s="23"/>
      <c r="J10" s="22"/>
      <c r="K10" s="22"/>
      <c r="L10" s="22"/>
      <c r="M10" s="22"/>
      <c r="N10" s="23"/>
      <c r="O10" s="22"/>
      <c r="P10" s="25">
        <f t="shared" si="1"/>
        <v>0</v>
      </c>
      <c r="Q10" s="25"/>
      <c r="R10" s="25">
        <f t="shared" ref="R10:T10" si="9">E10+J10+O10</f>
        <v>4.48</v>
      </c>
      <c r="S10" s="25">
        <f t="shared" si="9"/>
        <v>4.48</v>
      </c>
      <c r="T10" s="25">
        <f t="shared" si="9"/>
        <v>0</v>
      </c>
      <c r="U10" s="75"/>
      <c r="V10" s="1">
        <f t="shared" si="4"/>
        <v>0</v>
      </c>
      <c r="W10" s="1">
        <v>4.48</v>
      </c>
    </row>
    <row r="11" s="1" customFormat="1" ht="15" hidden="1" spans="1:23">
      <c r="A11" s="16">
        <v>8</v>
      </c>
      <c r="B11" s="21" t="s">
        <v>53</v>
      </c>
      <c r="C11" s="22">
        <v>7230</v>
      </c>
      <c r="D11" s="23">
        <v>44</v>
      </c>
      <c r="E11" s="22">
        <v>36.14</v>
      </c>
      <c r="F11" s="22">
        <f t="shared" si="0"/>
        <v>35.74</v>
      </c>
      <c r="G11" s="24">
        <v>0.4</v>
      </c>
      <c r="H11" s="22"/>
      <c r="I11" s="23"/>
      <c r="J11" s="22"/>
      <c r="K11" s="22"/>
      <c r="L11" s="22"/>
      <c r="M11" s="22"/>
      <c r="N11" s="23"/>
      <c r="O11" s="22"/>
      <c r="P11" s="25">
        <f t="shared" si="1"/>
        <v>0</v>
      </c>
      <c r="Q11" s="25"/>
      <c r="R11" s="25">
        <f t="shared" ref="R11:T11" si="10">E11+J11+O11</f>
        <v>36.14</v>
      </c>
      <c r="S11" s="25">
        <f t="shared" si="10"/>
        <v>35.74</v>
      </c>
      <c r="T11" s="25">
        <f t="shared" si="10"/>
        <v>0.4</v>
      </c>
      <c r="U11" s="74"/>
      <c r="V11" s="1">
        <f t="shared" si="4"/>
        <v>0</v>
      </c>
      <c r="W11" s="1">
        <v>35.74</v>
      </c>
    </row>
    <row r="12" s="1" customFormat="1" ht="15" hidden="1" spans="1:23">
      <c r="A12" s="16">
        <v>9</v>
      </c>
      <c r="B12" s="21" t="s">
        <v>39</v>
      </c>
      <c r="C12" s="22">
        <v>1179.9999</v>
      </c>
      <c r="D12" s="23">
        <v>3</v>
      </c>
      <c r="E12" s="22">
        <v>5.9</v>
      </c>
      <c r="F12" s="22">
        <f t="shared" si="0"/>
        <v>5.9</v>
      </c>
      <c r="G12" s="24"/>
      <c r="H12" s="22"/>
      <c r="I12" s="23"/>
      <c r="J12" s="22"/>
      <c r="K12" s="22"/>
      <c r="L12" s="22"/>
      <c r="M12" s="22"/>
      <c r="N12" s="23"/>
      <c r="O12" s="22"/>
      <c r="P12" s="25">
        <f t="shared" si="1"/>
        <v>0</v>
      </c>
      <c r="Q12" s="25"/>
      <c r="R12" s="25">
        <f t="shared" ref="R12:T12" si="11">E12+J12+O12</f>
        <v>5.9</v>
      </c>
      <c r="S12" s="25">
        <f t="shared" si="11"/>
        <v>5.9</v>
      </c>
      <c r="T12" s="25">
        <f t="shared" si="11"/>
        <v>0</v>
      </c>
      <c r="U12" s="75"/>
      <c r="V12" s="1">
        <f t="shared" si="4"/>
        <v>0</v>
      </c>
      <c r="W12" s="1">
        <v>5.9</v>
      </c>
    </row>
    <row r="13" s="1" customFormat="1" ht="15" hidden="1" spans="1:23">
      <c r="A13" s="16">
        <v>10</v>
      </c>
      <c r="B13" s="21" t="s">
        <v>46</v>
      </c>
      <c r="C13" s="22">
        <v>23701</v>
      </c>
      <c r="D13" s="23">
        <v>182</v>
      </c>
      <c r="E13" s="22">
        <v>115.51</v>
      </c>
      <c r="F13" s="22">
        <f t="shared" si="0"/>
        <v>98.27</v>
      </c>
      <c r="G13" s="24">
        <v>17.24</v>
      </c>
      <c r="H13" s="22">
        <v>2000</v>
      </c>
      <c r="I13" s="23">
        <v>2</v>
      </c>
      <c r="J13" s="22">
        <v>7.43</v>
      </c>
      <c r="K13" s="22">
        <v>7.43</v>
      </c>
      <c r="L13" s="22"/>
      <c r="M13" s="22"/>
      <c r="N13" s="23"/>
      <c r="O13" s="22"/>
      <c r="P13" s="25">
        <f t="shared" si="1"/>
        <v>0</v>
      </c>
      <c r="Q13" s="25"/>
      <c r="R13" s="25">
        <f t="shared" ref="R13:T13" si="12">E13+J13+O13</f>
        <v>122.94</v>
      </c>
      <c r="S13" s="25">
        <f t="shared" si="12"/>
        <v>105.7</v>
      </c>
      <c r="T13" s="25">
        <f t="shared" si="12"/>
        <v>17.24</v>
      </c>
      <c r="U13" s="74"/>
      <c r="V13" s="1">
        <f t="shared" si="4"/>
        <v>-0.600000000000023</v>
      </c>
      <c r="W13" s="1">
        <v>105.1</v>
      </c>
    </row>
    <row r="14" s="1" customFormat="1" ht="15" hidden="1" spans="1:23">
      <c r="A14" s="16">
        <v>11</v>
      </c>
      <c r="B14" s="21" t="s">
        <v>55</v>
      </c>
      <c r="C14" s="22">
        <v>4865</v>
      </c>
      <c r="D14" s="23">
        <v>18</v>
      </c>
      <c r="E14" s="22">
        <v>20.63</v>
      </c>
      <c r="F14" s="22">
        <f t="shared" si="0"/>
        <v>17.55</v>
      </c>
      <c r="G14" s="24">
        <v>3.08</v>
      </c>
      <c r="H14" s="22">
        <v>3380</v>
      </c>
      <c r="I14" s="23">
        <v>4</v>
      </c>
      <c r="J14" s="22">
        <v>16.75</v>
      </c>
      <c r="K14" s="22">
        <v>9.24</v>
      </c>
      <c r="L14" s="22">
        <v>7.51</v>
      </c>
      <c r="M14" s="22">
        <v>6191.8</v>
      </c>
      <c r="N14" s="23">
        <v>45</v>
      </c>
      <c r="O14" s="22">
        <v>12</v>
      </c>
      <c r="P14" s="25">
        <f t="shared" si="1"/>
        <v>10.39</v>
      </c>
      <c r="Q14" s="25">
        <v>1.61</v>
      </c>
      <c r="R14" s="25">
        <f t="shared" ref="R14:T14" si="13">E14+J14+O14</f>
        <v>49.38</v>
      </c>
      <c r="S14" s="25">
        <f t="shared" si="13"/>
        <v>37.18</v>
      </c>
      <c r="T14" s="25">
        <f t="shared" si="13"/>
        <v>12.2</v>
      </c>
      <c r="U14" s="74"/>
      <c r="V14" s="1">
        <f t="shared" si="4"/>
        <v>0</v>
      </c>
      <c r="W14" s="1">
        <v>37.18</v>
      </c>
    </row>
    <row r="15" s="1" customFormat="1" ht="15" hidden="1" spans="1:23">
      <c r="A15" s="16">
        <v>12</v>
      </c>
      <c r="B15" s="21" t="s">
        <v>22</v>
      </c>
      <c r="C15" s="22">
        <v>19918.5</v>
      </c>
      <c r="D15" s="23">
        <v>201</v>
      </c>
      <c r="E15" s="22">
        <v>98.12</v>
      </c>
      <c r="F15" s="22">
        <f t="shared" si="0"/>
        <v>92.63</v>
      </c>
      <c r="G15" s="24">
        <v>5.49</v>
      </c>
      <c r="H15" s="22">
        <v>4238</v>
      </c>
      <c r="I15" s="23">
        <v>5</v>
      </c>
      <c r="J15" s="22">
        <v>18.08</v>
      </c>
      <c r="K15" s="22">
        <v>18.08</v>
      </c>
      <c r="L15" s="22"/>
      <c r="M15" s="22">
        <v>22692</v>
      </c>
      <c r="N15" s="23">
        <v>255</v>
      </c>
      <c r="O15" s="22">
        <v>44.96</v>
      </c>
      <c r="P15" s="25">
        <f t="shared" si="1"/>
        <v>42.03</v>
      </c>
      <c r="Q15" s="25">
        <v>2.93</v>
      </c>
      <c r="R15" s="25">
        <f t="shared" ref="R15:T15" si="14">E15+J15+O15</f>
        <v>161.16</v>
      </c>
      <c r="S15" s="25">
        <f t="shared" si="14"/>
        <v>152.74</v>
      </c>
      <c r="T15" s="25">
        <f t="shared" si="14"/>
        <v>8.42</v>
      </c>
      <c r="U15" s="74"/>
      <c r="V15" s="1">
        <f t="shared" si="4"/>
        <v>0</v>
      </c>
      <c r="W15" s="1">
        <v>152.74</v>
      </c>
    </row>
    <row r="16" s="1" customFormat="1" ht="16" hidden="1" customHeight="1" spans="1:23">
      <c r="A16" s="16">
        <v>13</v>
      </c>
      <c r="B16" s="21" t="s">
        <v>43</v>
      </c>
      <c r="C16" s="22">
        <v>500</v>
      </c>
      <c r="D16" s="23">
        <v>1</v>
      </c>
      <c r="E16" s="22">
        <v>2.5</v>
      </c>
      <c r="F16" s="22">
        <f t="shared" si="0"/>
        <v>2.5</v>
      </c>
      <c r="G16" s="24"/>
      <c r="H16" s="22"/>
      <c r="I16" s="23"/>
      <c r="J16" s="22"/>
      <c r="K16" s="22"/>
      <c r="L16" s="22"/>
      <c r="M16" s="22"/>
      <c r="N16" s="23"/>
      <c r="O16" s="22"/>
      <c r="P16" s="25">
        <f t="shared" si="1"/>
        <v>0</v>
      </c>
      <c r="Q16" s="25"/>
      <c r="R16" s="25">
        <f t="shared" ref="R16:T16" si="15">E16+J16+O16</f>
        <v>2.5</v>
      </c>
      <c r="S16" s="25">
        <f t="shared" si="15"/>
        <v>2.5</v>
      </c>
      <c r="T16" s="25">
        <f t="shared" si="15"/>
        <v>0</v>
      </c>
      <c r="U16" s="75"/>
      <c r="V16" s="1">
        <f t="shared" si="4"/>
        <v>0</v>
      </c>
      <c r="W16" s="1">
        <v>2.5</v>
      </c>
    </row>
    <row r="17" s="3" customFormat="1" ht="16" hidden="1" customHeight="1" spans="1:21">
      <c r="A17" s="15" t="s">
        <v>61</v>
      </c>
      <c r="B17" s="16"/>
      <c r="C17" s="25">
        <f t="shared" ref="C17:T17" si="16">SUM(C4:C16)</f>
        <v>140151.739171</v>
      </c>
      <c r="D17" s="26">
        <f t="shared" si="16"/>
        <v>870</v>
      </c>
      <c r="E17" s="25">
        <f t="shared" si="16"/>
        <v>683.13</v>
      </c>
      <c r="F17" s="25">
        <f t="shared" si="16"/>
        <v>623.24</v>
      </c>
      <c r="G17" s="25">
        <f t="shared" si="16"/>
        <v>59.89</v>
      </c>
      <c r="H17" s="25">
        <f t="shared" si="16"/>
        <v>32113</v>
      </c>
      <c r="I17" s="26">
        <f t="shared" si="16"/>
        <v>36</v>
      </c>
      <c r="J17" s="25">
        <f t="shared" si="16"/>
        <v>140.35</v>
      </c>
      <c r="K17" s="25">
        <f t="shared" si="16"/>
        <v>125.38</v>
      </c>
      <c r="L17" s="25">
        <f t="shared" si="16"/>
        <v>14.97</v>
      </c>
      <c r="M17" s="25">
        <f t="shared" si="16"/>
        <v>250989.05</v>
      </c>
      <c r="N17" s="26">
        <f t="shared" si="16"/>
        <v>3012</v>
      </c>
      <c r="O17" s="25">
        <f t="shared" si="16"/>
        <v>482.489999999997</v>
      </c>
      <c r="P17" s="25">
        <f t="shared" si="16"/>
        <v>474.489999999997</v>
      </c>
      <c r="Q17" s="25">
        <f t="shared" si="16"/>
        <v>8</v>
      </c>
      <c r="R17" s="25">
        <f t="shared" si="16"/>
        <v>1305.97</v>
      </c>
      <c r="S17" s="25">
        <f t="shared" si="16"/>
        <v>1223.11</v>
      </c>
      <c r="T17" s="25">
        <f t="shared" si="16"/>
        <v>82.86</v>
      </c>
      <c r="U17" s="76"/>
    </row>
    <row r="18" s="1" customFormat="1" ht="27" hidden="1" spans="1:21">
      <c r="A18" s="27" t="s">
        <v>89</v>
      </c>
      <c r="B18" s="28">
        <f>SUM(D17,I17,N17)</f>
        <v>3918</v>
      </c>
      <c r="C18" s="29" t="s">
        <v>90</v>
      </c>
      <c r="D18" s="30"/>
      <c r="E18" s="31">
        <f>SUM(D17,I17)</f>
        <v>906</v>
      </c>
      <c r="F18" s="30"/>
      <c r="G18" s="29" t="s">
        <v>91</v>
      </c>
      <c r="H18" s="30"/>
      <c r="I18" s="59">
        <f>SUM(F17,K17)</f>
        <v>748.62</v>
      </c>
      <c r="J18" s="60"/>
      <c r="K18" s="29" t="s">
        <v>92</v>
      </c>
      <c r="L18" s="30"/>
      <c r="M18" s="59">
        <f>SUM(C17,H17)</f>
        <v>172264.739171</v>
      </c>
      <c r="N18" s="30"/>
      <c r="O18" s="18"/>
      <c r="P18" s="61"/>
      <c r="Q18" s="77"/>
      <c r="R18" s="78"/>
      <c r="S18" s="78"/>
      <c r="T18" s="78"/>
      <c r="U18" s="79"/>
    </row>
    <row r="19" s="1" customFormat="1" ht="46" hidden="1" customHeight="1" spans="1:21">
      <c r="A19" s="32" t="s">
        <v>101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="1" customFormat="1" spans="2:21">
      <c r="B20" s="5"/>
      <c r="C20" s="6"/>
      <c r="D20" s="7"/>
      <c r="E20" s="6"/>
      <c r="F20" s="6"/>
      <c r="G20" s="6"/>
      <c r="H20" s="33"/>
      <c r="I20" s="7"/>
      <c r="J20" s="6"/>
      <c r="K20" s="6"/>
      <c r="L20" s="6"/>
      <c r="M20" s="6"/>
      <c r="N20" s="7"/>
      <c r="O20" s="6"/>
      <c r="P20" s="6"/>
      <c r="Q20" s="6"/>
      <c r="R20" s="6"/>
      <c r="S20" s="6"/>
      <c r="T20" s="6"/>
      <c r="U20" s="80"/>
    </row>
    <row r="21" s="1" customFormat="1" spans="1:21">
      <c r="A21" s="34" t="s">
        <v>2</v>
      </c>
      <c r="B21" s="35" t="s">
        <v>93</v>
      </c>
      <c r="C21" s="36" t="s">
        <v>4</v>
      </c>
      <c r="D21" s="36"/>
      <c r="E21" s="36"/>
      <c r="F21" s="36"/>
      <c r="G21" s="36"/>
      <c r="H21" s="36"/>
      <c r="I21" s="36"/>
      <c r="J21" s="36"/>
      <c r="K21" s="36"/>
      <c r="L21" s="36"/>
      <c r="M21" s="36" t="s">
        <v>5</v>
      </c>
      <c r="N21" s="36"/>
      <c r="O21" s="36"/>
      <c r="P21" s="36"/>
      <c r="Q21" s="36"/>
      <c r="R21" s="35" t="s">
        <v>64</v>
      </c>
      <c r="S21" s="35" t="s">
        <v>65</v>
      </c>
      <c r="T21" s="35" t="s">
        <v>8</v>
      </c>
      <c r="U21" s="35" t="s">
        <v>9</v>
      </c>
    </row>
    <row r="22" s="4" customFormat="1" ht="41" customHeight="1" spans="1:21">
      <c r="A22" s="37"/>
      <c r="B22" s="38"/>
      <c r="C22" s="39" t="s">
        <v>10</v>
      </c>
      <c r="D22" s="40" t="s">
        <v>67</v>
      </c>
      <c r="E22" s="39" t="s">
        <v>11</v>
      </c>
      <c r="F22" s="39" t="s">
        <v>12</v>
      </c>
      <c r="G22" s="39" t="s">
        <v>13</v>
      </c>
      <c r="H22" s="41" t="s">
        <v>14</v>
      </c>
      <c r="I22" s="40" t="s">
        <v>67</v>
      </c>
      <c r="J22" s="39" t="s">
        <v>11</v>
      </c>
      <c r="K22" s="39" t="s">
        <v>12</v>
      </c>
      <c r="L22" s="39" t="s">
        <v>13</v>
      </c>
      <c r="M22" s="39" t="s">
        <v>15</v>
      </c>
      <c r="N22" s="40" t="s">
        <v>67</v>
      </c>
      <c r="O22" s="39" t="s">
        <v>11</v>
      </c>
      <c r="P22" s="39" t="s">
        <v>12</v>
      </c>
      <c r="Q22" s="39" t="s">
        <v>13</v>
      </c>
      <c r="R22" s="38"/>
      <c r="S22" s="38"/>
      <c r="T22" s="38"/>
      <c r="U22" s="38"/>
    </row>
    <row r="23" s="1" customFormat="1" spans="1:21">
      <c r="A23" s="34">
        <v>1</v>
      </c>
      <c r="B23" s="42" t="s">
        <v>51</v>
      </c>
      <c r="C23" s="36">
        <v>31222.35</v>
      </c>
      <c r="D23" s="43">
        <v>238</v>
      </c>
      <c r="E23" s="36">
        <v>155.72</v>
      </c>
      <c r="F23" s="36">
        <v>132.42</v>
      </c>
      <c r="G23" s="36">
        <v>23.3</v>
      </c>
      <c r="H23" s="44"/>
      <c r="I23" s="43"/>
      <c r="J23" s="36"/>
      <c r="K23" s="36"/>
      <c r="L23" s="36"/>
      <c r="M23" s="36">
        <v>29374.95</v>
      </c>
      <c r="N23" s="43">
        <v>214</v>
      </c>
      <c r="O23" s="36">
        <v>57.65</v>
      </c>
      <c r="P23" s="36">
        <v>56.51</v>
      </c>
      <c r="Q23" s="36">
        <v>1.14</v>
      </c>
      <c r="R23" s="36">
        <v>213.37</v>
      </c>
      <c r="S23" s="36">
        <v>188.93</v>
      </c>
      <c r="T23" s="36">
        <v>24.44</v>
      </c>
      <c r="U23" s="81"/>
    </row>
    <row r="24" s="1" customFormat="1" spans="1:21">
      <c r="A24" s="34">
        <v>2</v>
      </c>
      <c r="B24" s="42" t="s">
        <v>34</v>
      </c>
      <c r="C24" s="36">
        <v>7562</v>
      </c>
      <c r="D24" s="43">
        <v>32</v>
      </c>
      <c r="E24" s="36">
        <v>36.64</v>
      </c>
      <c r="F24" s="36">
        <v>33.14</v>
      </c>
      <c r="G24" s="36">
        <v>3.5</v>
      </c>
      <c r="H24" s="44">
        <v>3460</v>
      </c>
      <c r="I24" s="43">
        <v>4</v>
      </c>
      <c r="J24" s="36">
        <v>14.77</v>
      </c>
      <c r="K24" s="36">
        <v>14.77</v>
      </c>
      <c r="L24" s="36"/>
      <c r="M24" s="36">
        <v>47417.1</v>
      </c>
      <c r="N24" s="43">
        <v>446</v>
      </c>
      <c r="O24" s="36">
        <v>77.17</v>
      </c>
      <c r="P24" s="36">
        <v>74.71</v>
      </c>
      <c r="Q24" s="36">
        <v>2.46</v>
      </c>
      <c r="R24" s="36">
        <v>128.58</v>
      </c>
      <c r="S24" s="36">
        <v>122.62</v>
      </c>
      <c r="T24" s="36">
        <v>5.96</v>
      </c>
      <c r="U24" s="81"/>
    </row>
    <row r="25" s="1" customFormat="1" spans="1:21">
      <c r="A25" s="34">
        <v>3</v>
      </c>
      <c r="B25" s="42" t="s">
        <v>36</v>
      </c>
      <c r="C25" s="36">
        <v>5257.889271</v>
      </c>
      <c r="D25" s="43">
        <v>22</v>
      </c>
      <c r="E25" s="36">
        <v>23.93</v>
      </c>
      <c r="F25" s="36">
        <v>23.86</v>
      </c>
      <c r="G25" s="36">
        <v>0.07</v>
      </c>
      <c r="H25" s="44">
        <v>700</v>
      </c>
      <c r="I25" s="43">
        <v>1</v>
      </c>
      <c r="J25" s="36">
        <v>3.5</v>
      </c>
      <c r="K25" s="36">
        <v>3.5</v>
      </c>
      <c r="L25" s="36"/>
      <c r="M25" s="36"/>
      <c r="N25" s="43"/>
      <c r="O25" s="36"/>
      <c r="P25" s="36">
        <v>0</v>
      </c>
      <c r="Q25" s="36"/>
      <c r="R25" s="36">
        <v>27.43</v>
      </c>
      <c r="S25" s="36">
        <v>27.36</v>
      </c>
      <c r="T25" s="36">
        <v>0.07</v>
      </c>
      <c r="U25" s="81"/>
    </row>
    <row r="26" s="1" customFormat="1" spans="1:21">
      <c r="A26" s="34">
        <v>4</v>
      </c>
      <c r="B26" s="42" t="s">
        <v>16</v>
      </c>
      <c r="C26" s="36">
        <v>35721</v>
      </c>
      <c r="D26" s="43">
        <v>118</v>
      </c>
      <c r="E26" s="36">
        <v>173.09</v>
      </c>
      <c r="F26" s="36">
        <v>166.28</v>
      </c>
      <c r="G26" s="36">
        <v>6.81</v>
      </c>
      <c r="H26" s="44">
        <v>15685</v>
      </c>
      <c r="I26" s="43">
        <v>17</v>
      </c>
      <c r="J26" s="36">
        <v>66.57</v>
      </c>
      <c r="K26" s="36">
        <v>59.11</v>
      </c>
      <c r="L26" s="36">
        <v>7.46</v>
      </c>
      <c r="M26" s="36">
        <v>145313.2</v>
      </c>
      <c r="N26" s="43">
        <v>2052</v>
      </c>
      <c r="O26" s="36">
        <v>290.709999999997</v>
      </c>
      <c r="P26" s="36">
        <v>290.709999999997</v>
      </c>
      <c r="Q26" s="36"/>
      <c r="R26" s="36">
        <v>530.369999999997</v>
      </c>
      <c r="S26" s="36">
        <v>516.099999999997</v>
      </c>
      <c r="T26" s="36">
        <v>14.27</v>
      </c>
      <c r="U26" s="81"/>
    </row>
    <row r="27" s="1" customFormat="1" spans="1:21">
      <c r="A27" s="34">
        <v>5</v>
      </c>
      <c r="B27" s="42" t="s">
        <v>47</v>
      </c>
      <c r="C27" s="36">
        <v>1604</v>
      </c>
      <c r="D27" s="43">
        <v>8</v>
      </c>
      <c r="E27" s="36">
        <v>8.02</v>
      </c>
      <c r="F27" s="36">
        <v>8.02</v>
      </c>
      <c r="G27" s="36"/>
      <c r="H27" s="44">
        <v>950</v>
      </c>
      <c r="I27" s="43">
        <v>1</v>
      </c>
      <c r="J27" s="36">
        <v>4.75</v>
      </c>
      <c r="K27" s="36">
        <v>4.75</v>
      </c>
      <c r="L27" s="36"/>
      <c r="M27" s="36"/>
      <c r="N27" s="43"/>
      <c r="O27" s="36"/>
      <c r="P27" s="36">
        <v>0</v>
      </c>
      <c r="Q27" s="36"/>
      <c r="R27" s="36">
        <v>12.77</v>
      </c>
      <c r="S27" s="36">
        <v>12.77</v>
      </c>
      <c r="T27" s="36">
        <v>0</v>
      </c>
      <c r="U27" s="81"/>
    </row>
    <row r="28" s="1" customFormat="1" spans="1:21">
      <c r="A28" s="34">
        <v>6</v>
      </c>
      <c r="B28" s="42" t="s">
        <v>54</v>
      </c>
      <c r="C28" s="36">
        <v>490</v>
      </c>
      <c r="D28" s="43">
        <v>1</v>
      </c>
      <c r="E28" s="36">
        <v>2.45</v>
      </c>
      <c r="F28" s="36">
        <v>2.45</v>
      </c>
      <c r="G28" s="36"/>
      <c r="H28" s="44">
        <v>1700</v>
      </c>
      <c r="I28" s="43">
        <v>2</v>
      </c>
      <c r="J28" s="36">
        <v>8.5</v>
      </c>
      <c r="K28" s="36">
        <v>8.5</v>
      </c>
      <c r="L28" s="36"/>
      <c r="M28" s="36"/>
      <c r="N28" s="43"/>
      <c r="O28" s="36"/>
      <c r="P28" s="36">
        <v>0</v>
      </c>
      <c r="Q28" s="36"/>
      <c r="R28" s="36">
        <v>10.95</v>
      </c>
      <c r="S28" s="36">
        <v>10.95</v>
      </c>
      <c r="T28" s="36">
        <v>0</v>
      </c>
      <c r="U28" s="81"/>
    </row>
    <row r="29" s="1" customFormat="1" spans="1:21">
      <c r="A29" s="34">
        <v>7</v>
      </c>
      <c r="B29" s="42" t="s">
        <v>60</v>
      </c>
      <c r="C29" s="36">
        <v>900</v>
      </c>
      <c r="D29" s="43">
        <v>2</v>
      </c>
      <c r="E29" s="36">
        <v>4.48</v>
      </c>
      <c r="F29" s="36">
        <v>4.48</v>
      </c>
      <c r="G29" s="36"/>
      <c r="H29" s="44"/>
      <c r="I29" s="43"/>
      <c r="J29" s="36"/>
      <c r="K29" s="36"/>
      <c r="L29" s="36"/>
      <c r="M29" s="36"/>
      <c r="N29" s="43"/>
      <c r="O29" s="36"/>
      <c r="P29" s="36">
        <v>0</v>
      </c>
      <c r="Q29" s="36"/>
      <c r="R29" s="36">
        <v>4.48</v>
      </c>
      <c r="S29" s="36">
        <v>4.48</v>
      </c>
      <c r="T29" s="36">
        <v>0</v>
      </c>
      <c r="U29" s="81"/>
    </row>
    <row r="30" s="1" customFormat="1" spans="1:21">
      <c r="A30" s="34">
        <v>8</v>
      </c>
      <c r="B30" s="42" t="s">
        <v>53</v>
      </c>
      <c r="C30" s="36">
        <v>7230</v>
      </c>
      <c r="D30" s="43">
        <v>44</v>
      </c>
      <c r="E30" s="36">
        <v>36.14</v>
      </c>
      <c r="F30" s="36">
        <v>35.74</v>
      </c>
      <c r="G30" s="36">
        <v>0.4</v>
      </c>
      <c r="H30" s="44"/>
      <c r="I30" s="43"/>
      <c r="J30" s="36"/>
      <c r="K30" s="36"/>
      <c r="L30" s="36"/>
      <c r="M30" s="36"/>
      <c r="N30" s="43"/>
      <c r="O30" s="36"/>
      <c r="P30" s="36">
        <v>0</v>
      </c>
      <c r="Q30" s="36"/>
      <c r="R30" s="36">
        <v>36.14</v>
      </c>
      <c r="S30" s="36">
        <v>35.74</v>
      </c>
      <c r="T30" s="36">
        <v>0.4</v>
      </c>
      <c r="U30" s="81"/>
    </row>
    <row r="31" s="1" customFormat="1" spans="1:21">
      <c r="A31" s="34">
        <v>9</v>
      </c>
      <c r="B31" s="42" t="s">
        <v>39</v>
      </c>
      <c r="C31" s="36">
        <v>1179.9999</v>
      </c>
      <c r="D31" s="43">
        <v>3</v>
      </c>
      <c r="E31" s="36">
        <v>5.9</v>
      </c>
      <c r="F31" s="36">
        <v>5.9</v>
      </c>
      <c r="G31" s="36"/>
      <c r="H31" s="44"/>
      <c r="I31" s="43"/>
      <c r="J31" s="36"/>
      <c r="K31" s="36"/>
      <c r="L31" s="36"/>
      <c r="M31" s="36"/>
      <c r="N31" s="43"/>
      <c r="O31" s="36"/>
      <c r="P31" s="36">
        <v>0</v>
      </c>
      <c r="Q31" s="36"/>
      <c r="R31" s="36">
        <v>5.9</v>
      </c>
      <c r="S31" s="36">
        <v>5.9</v>
      </c>
      <c r="T31" s="36">
        <v>0</v>
      </c>
      <c r="U31" s="81"/>
    </row>
    <row r="32" s="1" customFormat="1" spans="1:21">
      <c r="A32" s="34">
        <v>10</v>
      </c>
      <c r="B32" s="42" t="s">
        <v>46</v>
      </c>
      <c r="C32" s="36">
        <v>23701</v>
      </c>
      <c r="D32" s="43">
        <v>182</v>
      </c>
      <c r="E32" s="36">
        <v>115.51</v>
      </c>
      <c r="F32" s="36">
        <v>98.27</v>
      </c>
      <c r="G32" s="36">
        <v>17.24</v>
      </c>
      <c r="H32" s="44">
        <v>2000</v>
      </c>
      <c r="I32" s="43">
        <v>2</v>
      </c>
      <c r="J32" s="36">
        <v>7.43</v>
      </c>
      <c r="K32" s="36">
        <v>7.43</v>
      </c>
      <c r="L32" s="36"/>
      <c r="M32" s="36"/>
      <c r="N32" s="43"/>
      <c r="O32" s="36"/>
      <c r="P32" s="36">
        <v>0</v>
      </c>
      <c r="Q32" s="36"/>
      <c r="R32" s="36">
        <v>122.94</v>
      </c>
      <c r="S32" s="36">
        <v>105.7</v>
      </c>
      <c r="T32" s="36">
        <v>17.24</v>
      </c>
      <c r="U32" s="81"/>
    </row>
    <row r="33" s="1" customFormat="1" spans="1:21">
      <c r="A33" s="34">
        <v>11</v>
      </c>
      <c r="B33" s="42" t="s">
        <v>55</v>
      </c>
      <c r="C33" s="36">
        <v>4865</v>
      </c>
      <c r="D33" s="43">
        <v>18</v>
      </c>
      <c r="E33" s="36">
        <v>20.63</v>
      </c>
      <c r="F33" s="36">
        <v>17.55</v>
      </c>
      <c r="G33" s="36">
        <v>3.08</v>
      </c>
      <c r="H33" s="44">
        <v>3380</v>
      </c>
      <c r="I33" s="43">
        <v>4</v>
      </c>
      <c r="J33" s="36">
        <v>16.75</v>
      </c>
      <c r="K33" s="36">
        <v>9.24</v>
      </c>
      <c r="L33" s="36">
        <v>7.51</v>
      </c>
      <c r="M33" s="36">
        <v>6191.8</v>
      </c>
      <c r="N33" s="43">
        <v>45</v>
      </c>
      <c r="O33" s="36">
        <v>12</v>
      </c>
      <c r="P33" s="36">
        <v>10.39</v>
      </c>
      <c r="Q33" s="36">
        <v>1.61</v>
      </c>
      <c r="R33" s="36">
        <v>49.38</v>
      </c>
      <c r="S33" s="36">
        <v>37.18</v>
      </c>
      <c r="T33" s="36">
        <v>12.2</v>
      </c>
      <c r="U33" s="81"/>
    </row>
    <row r="34" s="1" customFormat="1" spans="1:21">
      <c r="A34" s="34">
        <v>12</v>
      </c>
      <c r="B34" s="42" t="s">
        <v>22</v>
      </c>
      <c r="C34" s="36">
        <v>19918.5</v>
      </c>
      <c r="D34" s="43">
        <v>201</v>
      </c>
      <c r="E34" s="36">
        <v>98.12</v>
      </c>
      <c r="F34" s="36">
        <v>92.63</v>
      </c>
      <c r="G34" s="36">
        <v>5.49</v>
      </c>
      <c r="H34" s="44">
        <v>4238</v>
      </c>
      <c r="I34" s="43">
        <v>5</v>
      </c>
      <c r="J34" s="36">
        <v>18.08</v>
      </c>
      <c r="K34" s="36">
        <v>18.08</v>
      </c>
      <c r="L34" s="36"/>
      <c r="M34" s="36">
        <v>22692</v>
      </c>
      <c r="N34" s="43">
        <v>255</v>
      </c>
      <c r="O34" s="36">
        <v>44.96</v>
      </c>
      <c r="P34" s="36">
        <v>42.03</v>
      </c>
      <c r="Q34" s="36">
        <v>2.93</v>
      </c>
      <c r="R34" s="36">
        <v>161.16</v>
      </c>
      <c r="S34" s="36">
        <v>152.74</v>
      </c>
      <c r="T34" s="36">
        <v>8.42</v>
      </c>
      <c r="U34" s="81"/>
    </row>
    <row r="35" s="1" customFormat="1" spans="1:21">
      <c r="A35" s="34">
        <v>13</v>
      </c>
      <c r="B35" s="42" t="s">
        <v>43</v>
      </c>
      <c r="C35" s="36">
        <v>500</v>
      </c>
      <c r="D35" s="43">
        <v>1</v>
      </c>
      <c r="E35" s="36">
        <v>2.5</v>
      </c>
      <c r="F35" s="36">
        <v>2.5</v>
      </c>
      <c r="G35" s="36"/>
      <c r="H35" s="44"/>
      <c r="I35" s="43"/>
      <c r="J35" s="36"/>
      <c r="K35" s="36"/>
      <c r="L35" s="36"/>
      <c r="M35" s="36"/>
      <c r="N35" s="43"/>
      <c r="O35" s="36"/>
      <c r="P35" s="36">
        <v>0</v>
      </c>
      <c r="Q35" s="36"/>
      <c r="R35" s="36">
        <v>2.5</v>
      </c>
      <c r="S35" s="36">
        <v>2.5</v>
      </c>
      <c r="T35" s="36">
        <v>0</v>
      </c>
      <c r="U35" s="81"/>
    </row>
    <row r="36" s="3" customFormat="1" spans="1:21">
      <c r="A36" s="45" t="s">
        <v>61</v>
      </c>
      <c r="B36" s="46"/>
      <c r="C36" s="47">
        <v>140151.739171</v>
      </c>
      <c r="D36" s="48">
        <v>870</v>
      </c>
      <c r="E36" s="47">
        <v>683.13</v>
      </c>
      <c r="F36" s="47">
        <v>623.24</v>
      </c>
      <c r="G36" s="47">
        <v>59.89</v>
      </c>
      <c r="H36" s="49">
        <v>32113</v>
      </c>
      <c r="I36" s="48">
        <v>36</v>
      </c>
      <c r="J36" s="47">
        <v>140.35</v>
      </c>
      <c r="K36" s="47">
        <v>125.38</v>
      </c>
      <c r="L36" s="47">
        <v>14.97</v>
      </c>
      <c r="M36" s="47">
        <v>250989.05</v>
      </c>
      <c r="N36" s="48">
        <v>3012</v>
      </c>
      <c r="O36" s="47">
        <v>482.489999999997</v>
      </c>
      <c r="P36" s="47">
        <v>474.349999999997</v>
      </c>
      <c r="Q36" s="47">
        <v>8.14</v>
      </c>
      <c r="R36" s="47">
        <v>1305.97</v>
      </c>
      <c r="S36" s="47">
        <v>1222.97</v>
      </c>
      <c r="T36" s="47">
        <v>83</v>
      </c>
      <c r="U36" s="82"/>
    </row>
    <row r="37" s="1" customFormat="1" spans="1:21">
      <c r="A37" s="34" t="s">
        <v>89</v>
      </c>
      <c r="B37" s="42">
        <v>3918</v>
      </c>
      <c r="C37" s="36" t="s">
        <v>90</v>
      </c>
      <c r="D37" s="43"/>
      <c r="E37" s="36">
        <v>906</v>
      </c>
      <c r="F37" s="36"/>
      <c r="G37" s="36" t="s">
        <v>91</v>
      </c>
      <c r="H37" s="44"/>
      <c r="I37" s="43">
        <v>748.62</v>
      </c>
      <c r="J37" s="36"/>
      <c r="K37" s="36" t="s">
        <v>92</v>
      </c>
      <c r="L37" s="36"/>
      <c r="M37" s="36">
        <v>172264.739171</v>
      </c>
      <c r="N37" s="43"/>
      <c r="O37" s="36"/>
      <c r="P37" s="36"/>
      <c r="Q37" s="36"/>
      <c r="R37" s="36"/>
      <c r="S37" s="36"/>
      <c r="T37" s="36"/>
      <c r="U37" s="81"/>
    </row>
    <row r="38" s="1" customFormat="1" ht="39" customHeight="1" spans="1:21">
      <c r="A38" s="50" t="s">
        <v>101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83"/>
    </row>
    <row r="39" s="1" customFormat="1" spans="2:21">
      <c r="B39" s="5"/>
      <c r="C39" s="6"/>
      <c r="D39" s="7"/>
      <c r="E39" s="6"/>
      <c r="F39" s="6"/>
      <c r="G39" s="6"/>
      <c r="H39" s="52"/>
      <c r="I39" s="62"/>
      <c r="J39" s="6"/>
      <c r="K39" s="6"/>
      <c r="L39" s="6"/>
      <c r="M39" s="63"/>
      <c r="N39" s="62"/>
      <c r="O39" s="63"/>
      <c r="P39" s="63"/>
      <c r="Q39" s="63"/>
      <c r="R39" s="63"/>
      <c r="S39" s="63"/>
      <c r="T39" s="63"/>
      <c r="U39" s="84"/>
    </row>
    <row r="40" s="1" customFormat="1" spans="2:21">
      <c r="B40" s="5"/>
      <c r="C40" s="6"/>
      <c r="D40" s="7"/>
      <c r="E40" s="6"/>
      <c r="F40" s="6"/>
      <c r="G40" s="6"/>
      <c r="H40" s="52"/>
      <c r="I40" s="62"/>
      <c r="J40" s="6"/>
      <c r="K40" s="6"/>
      <c r="L40" s="6"/>
      <c r="M40" s="63"/>
      <c r="N40" s="62"/>
      <c r="O40" s="63"/>
      <c r="P40" s="63"/>
      <c r="Q40" s="63"/>
      <c r="R40" s="63"/>
      <c r="S40" s="63"/>
      <c r="T40" s="63"/>
      <c r="U40" s="84"/>
    </row>
    <row r="41" s="1" customFormat="1" spans="2:21">
      <c r="B41" s="5"/>
      <c r="C41" s="6"/>
      <c r="D41" s="7"/>
      <c r="E41" s="6"/>
      <c r="F41" s="6"/>
      <c r="G41" s="6"/>
      <c r="H41" s="6"/>
      <c r="I41" s="6"/>
      <c r="J41" s="6"/>
      <c r="K41" s="6"/>
      <c r="L41" s="6"/>
      <c r="M41" s="8"/>
      <c r="N41" s="9"/>
      <c r="O41" s="8"/>
      <c r="P41" s="10"/>
      <c r="Q41" s="8"/>
      <c r="R41" s="11"/>
      <c r="S41" s="11"/>
      <c r="T41" s="11"/>
      <c r="U41" s="12"/>
    </row>
    <row r="42" s="1" customFormat="1" spans="2:21">
      <c r="B42" s="5"/>
      <c r="C42" s="6"/>
      <c r="D42" s="7"/>
      <c r="E42" s="6"/>
      <c r="F42" s="6"/>
      <c r="G42" s="6"/>
      <c r="H42" s="6"/>
      <c r="I42" s="7"/>
      <c r="J42" s="6"/>
      <c r="K42" s="64" t="s">
        <v>94</v>
      </c>
      <c r="L42" s="64"/>
      <c r="M42" s="8"/>
      <c r="N42" s="65" t="s">
        <v>95</v>
      </c>
      <c r="O42" s="66"/>
      <c r="P42" s="10"/>
      <c r="Q42" s="8"/>
      <c r="R42" s="11"/>
      <c r="S42" s="11"/>
      <c r="T42" s="11"/>
      <c r="U42" s="12"/>
    </row>
    <row r="43" s="1" customFormat="1" spans="2:21">
      <c r="B43" s="5"/>
      <c r="C43" s="6"/>
      <c r="D43" s="7"/>
      <c r="E43" s="6"/>
      <c r="F43" s="6"/>
      <c r="G43" s="6" t="s">
        <v>82</v>
      </c>
      <c r="H43" s="6" t="s">
        <v>67</v>
      </c>
      <c r="I43" s="7" t="s">
        <v>70</v>
      </c>
      <c r="J43" s="6" t="s">
        <v>71</v>
      </c>
      <c r="K43" s="67" t="s">
        <v>72</v>
      </c>
      <c r="L43" s="67" t="s">
        <v>73</v>
      </c>
      <c r="M43" s="8"/>
      <c r="N43" s="68" t="s">
        <v>72</v>
      </c>
      <c r="O43" s="68" t="s">
        <v>73</v>
      </c>
      <c r="P43" s="10"/>
      <c r="Q43" s="8"/>
      <c r="R43" s="11"/>
      <c r="S43" s="11"/>
      <c r="T43" s="11"/>
      <c r="U43" s="12"/>
    </row>
    <row r="44" s="1" customFormat="1" spans="2:21">
      <c r="B44" s="5"/>
      <c r="C44" s="6"/>
      <c r="D44" s="7"/>
      <c r="E44" s="6"/>
      <c r="F44" s="6"/>
      <c r="G44" s="6">
        <v>500</v>
      </c>
      <c r="H44" s="53">
        <f>+D17</f>
        <v>870</v>
      </c>
      <c r="I44" s="53">
        <f>+C17</f>
        <v>140151.739171</v>
      </c>
      <c r="J44" s="53">
        <f>+E17</f>
        <v>683.13</v>
      </c>
      <c r="K44" s="69">
        <f>+G17</f>
        <v>59.89</v>
      </c>
      <c r="L44" s="69">
        <f t="shared" ref="L44:L47" si="17">+J44-K44</f>
        <v>623.24</v>
      </c>
      <c r="M44" s="8"/>
      <c r="N44" s="70">
        <v>59.89</v>
      </c>
      <c r="O44" s="70">
        <v>623.24</v>
      </c>
      <c r="P44" s="10"/>
      <c r="Q44" s="8"/>
      <c r="R44" s="11"/>
      <c r="S44" s="11"/>
      <c r="T44" s="11"/>
      <c r="U44" s="12"/>
    </row>
    <row r="45" s="1" customFormat="1" spans="2:21">
      <c r="B45" s="5"/>
      <c r="C45" s="6"/>
      <c r="D45" s="7"/>
      <c r="E45" s="6"/>
      <c r="F45" s="6"/>
      <c r="G45" s="6" t="s">
        <v>83</v>
      </c>
      <c r="H45" s="53">
        <f>+I17</f>
        <v>36</v>
      </c>
      <c r="I45" s="53">
        <f>+H17</f>
        <v>32113</v>
      </c>
      <c r="J45" s="53">
        <f>+J17</f>
        <v>140.35</v>
      </c>
      <c r="K45" s="69">
        <f>+L17</f>
        <v>14.97</v>
      </c>
      <c r="L45" s="69">
        <f t="shared" si="17"/>
        <v>125.38</v>
      </c>
      <c r="M45" s="8"/>
      <c r="N45" s="70">
        <v>14.97</v>
      </c>
      <c r="O45" s="70">
        <v>125.38</v>
      </c>
      <c r="P45" s="10"/>
      <c r="Q45" s="8"/>
      <c r="R45" s="11"/>
      <c r="S45" s="11"/>
      <c r="T45" s="11"/>
      <c r="U45" s="12"/>
    </row>
    <row r="46" s="1" customFormat="1" spans="2:21">
      <c r="B46" s="5"/>
      <c r="C46" s="6"/>
      <c r="D46" s="7"/>
      <c r="E46" s="6"/>
      <c r="F46" s="6"/>
      <c r="G46" s="54" t="s">
        <v>99</v>
      </c>
      <c r="H46" s="55">
        <f t="shared" ref="H46:K46" si="18">+H44+H45</f>
        <v>906</v>
      </c>
      <c r="I46" s="55">
        <f t="shared" si="18"/>
        <v>172264.739171</v>
      </c>
      <c r="J46" s="55">
        <f t="shared" si="18"/>
        <v>823.48</v>
      </c>
      <c r="K46" s="71">
        <f t="shared" si="18"/>
        <v>74.86</v>
      </c>
      <c r="L46" s="71">
        <f t="shared" si="17"/>
        <v>748.62</v>
      </c>
      <c r="M46" s="8"/>
      <c r="N46" s="70">
        <f>+N44+N45</f>
        <v>74.86</v>
      </c>
      <c r="O46" s="70">
        <f>+O44+O45</f>
        <v>748.62</v>
      </c>
      <c r="P46" s="10"/>
      <c r="Q46" s="8"/>
      <c r="R46" s="11"/>
      <c r="S46" s="11"/>
      <c r="T46" s="11"/>
      <c r="U46" s="12"/>
    </row>
    <row r="47" s="1" customFormat="1" spans="2:21">
      <c r="B47" s="5"/>
      <c r="C47" s="6"/>
      <c r="D47" s="7"/>
      <c r="E47" s="6"/>
      <c r="F47" s="6"/>
      <c r="G47" s="6" t="s">
        <v>79</v>
      </c>
      <c r="H47" s="53">
        <f>+N17</f>
        <v>3012</v>
      </c>
      <c r="I47" s="53">
        <f>+M17</f>
        <v>250989.05</v>
      </c>
      <c r="J47" s="53">
        <f>+O17</f>
        <v>482.489999999997</v>
      </c>
      <c r="K47" s="69">
        <f>+Q17</f>
        <v>8</v>
      </c>
      <c r="L47" s="69">
        <f t="shared" si="17"/>
        <v>474.489999999997</v>
      </c>
      <c r="M47" s="6"/>
      <c r="N47" s="72">
        <f>8+J57</f>
        <v>8.14</v>
      </c>
      <c r="O47" s="72">
        <f>+J47-N47</f>
        <v>474.349999999997</v>
      </c>
      <c r="P47" s="10"/>
      <c r="Q47" s="8"/>
      <c r="R47" s="11"/>
      <c r="S47" s="11"/>
      <c r="T47" s="11"/>
      <c r="U47" s="12"/>
    </row>
    <row r="48" s="1" customFormat="1" spans="2:21">
      <c r="B48" s="5"/>
      <c r="C48" s="6"/>
      <c r="D48" s="7"/>
      <c r="E48" s="6"/>
      <c r="F48" s="6"/>
      <c r="G48" s="6"/>
      <c r="H48" s="53"/>
      <c r="I48" s="53"/>
      <c r="J48" s="53"/>
      <c r="K48" s="69"/>
      <c r="L48" s="69"/>
      <c r="M48" s="8"/>
      <c r="N48" s="70"/>
      <c r="O48" s="70"/>
      <c r="P48" s="10"/>
      <c r="Q48" s="8"/>
      <c r="R48" s="11"/>
      <c r="S48" s="11"/>
      <c r="T48" s="11"/>
      <c r="U48" s="12"/>
    </row>
    <row r="49" s="1" customFormat="1" spans="2:21">
      <c r="B49" s="5"/>
      <c r="C49" s="6"/>
      <c r="D49" s="7"/>
      <c r="E49" s="6"/>
      <c r="F49" s="6"/>
      <c r="G49" s="6" t="s">
        <v>61</v>
      </c>
      <c r="H49" s="53">
        <f t="shared" ref="H49:L49" si="19">+H46+H47</f>
        <v>3918</v>
      </c>
      <c r="I49" s="53">
        <f t="shared" si="19"/>
        <v>423253.789171</v>
      </c>
      <c r="J49" s="53">
        <f t="shared" si="19"/>
        <v>1305.97</v>
      </c>
      <c r="K49" s="69">
        <f t="shared" si="19"/>
        <v>82.86</v>
      </c>
      <c r="L49" s="69">
        <f t="shared" si="19"/>
        <v>1223.11</v>
      </c>
      <c r="M49" s="8"/>
      <c r="N49" s="70">
        <f>+N46+N47</f>
        <v>83</v>
      </c>
      <c r="O49" s="70">
        <f>+O46+O47</f>
        <v>1222.97</v>
      </c>
      <c r="P49" s="10"/>
      <c r="Q49" s="8"/>
      <c r="R49" s="11"/>
      <c r="S49" s="11"/>
      <c r="T49" s="11"/>
      <c r="U49" s="12"/>
    </row>
    <row r="50" s="1" customFormat="1" spans="2:21">
      <c r="B50" s="5"/>
      <c r="C50" s="6"/>
      <c r="D50" s="7"/>
      <c r="E50" s="6"/>
      <c r="F50" s="6"/>
      <c r="G50" s="6"/>
      <c r="H50" s="6"/>
      <c r="I50" s="7"/>
      <c r="J50" s="6"/>
      <c r="K50" s="6" t="s">
        <v>102</v>
      </c>
      <c r="L50" s="6">
        <v>114.93</v>
      </c>
      <c r="M50" s="8"/>
      <c r="N50" s="73"/>
      <c r="O50" s="73">
        <f>+L50</f>
        <v>114.93</v>
      </c>
      <c r="P50" s="10"/>
      <c r="Q50" s="8"/>
      <c r="R50" s="11"/>
      <c r="S50" s="11"/>
      <c r="T50" s="11"/>
      <c r="U50" s="12"/>
    </row>
    <row r="51" s="1" customFormat="1" spans="2:21">
      <c r="B51" s="5"/>
      <c r="C51" s="6"/>
      <c r="D51" s="7"/>
      <c r="E51" s="6"/>
      <c r="F51" s="6"/>
      <c r="G51" s="6"/>
      <c r="H51" s="6"/>
      <c r="I51" s="7"/>
      <c r="J51" s="6"/>
      <c r="K51" s="6"/>
      <c r="L51" s="6">
        <f>+L49+L50</f>
        <v>1338.04</v>
      </c>
      <c r="M51" s="6"/>
      <c r="N51" s="53"/>
      <c r="O51" s="53">
        <f>+O49+O50</f>
        <v>1337.9</v>
      </c>
      <c r="P51" s="10"/>
      <c r="Q51" s="8"/>
      <c r="R51" s="11"/>
      <c r="S51" s="11"/>
      <c r="T51" s="11"/>
      <c r="U51" s="12"/>
    </row>
    <row r="54" ht="14.25" spans="7:11">
      <c r="G54" s="56" t="s">
        <v>72</v>
      </c>
      <c r="H54" s="56" t="s">
        <v>82</v>
      </c>
      <c r="I54" s="56"/>
      <c r="J54" s="56" t="s">
        <v>79</v>
      </c>
      <c r="K54" s="56" t="s">
        <v>61</v>
      </c>
    </row>
    <row r="55" ht="14.25" spans="7:11">
      <c r="G55" s="56"/>
      <c r="H55" s="57">
        <v>500</v>
      </c>
      <c r="I55" s="57" t="s">
        <v>83</v>
      </c>
      <c r="J55" s="56"/>
      <c r="K55" s="56"/>
    </row>
    <row r="56" ht="14.25" spans="7:11">
      <c r="G56" s="58" t="s">
        <v>84</v>
      </c>
      <c r="H56" s="57">
        <v>7.78</v>
      </c>
      <c r="I56" s="57">
        <v>4</v>
      </c>
      <c r="J56" s="57">
        <v>1.17</v>
      </c>
      <c r="K56" s="57">
        <v>12.95</v>
      </c>
    </row>
    <row r="57" ht="14.25" spans="7:11">
      <c r="G57" s="58" t="s">
        <v>85</v>
      </c>
      <c r="H57" s="57"/>
      <c r="I57" s="57"/>
      <c r="J57" s="57">
        <v>0.14</v>
      </c>
      <c r="K57" s="57">
        <v>0.14</v>
      </c>
    </row>
    <row r="58" ht="14.25" spans="7:11">
      <c r="G58" s="58" t="s">
        <v>86</v>
      </c>
      <c r="H58" s="57">
        <v>14.29</v>
      </c>
      <c r="I58" s="57"/>
      <c r="J58" s="57">
        <v>0.4</v>
      </c>
      <c r="K58" s="57">
        <v>14.69</v>
      </c>
    </row>
  </sheetData>
  <mergeCells count="30">
    <mergeCell ref="A1:U1"/>
    <mergeCell ref="C2:L2"/>
    <mergeCell ref="M2:Q2"/>
    <mergeCell ref="A17:B17"/>
    <mergeCell ref="C18:D18"/>
    <mergeCell ref="E18:F18"/>
    <mergeCell ref="G18:H18"/>
    <mergeCell ref="I18:J18"/>
    <mergeCell ref="K18:L18"/>
    <mergeCell ref="M18:N18"/>
    <mergeCell ref="A19:U19"/>
    <mergeCell ref="C21:L21"/>
    <mergeCell ref="M21:Q21"/>
    <mergeCell ref="A38:U38"/>
    <mergeCell ref="K42:L42"/>
    <mergeCell ref="H54:I54"/>
    <mergeCell ref="A2:A3"/>
    <mergeCell ref="B2:B3"/>
    <mergeCell ref="B21:B22"/>
    <mergeCell ref="G54:G55"/>
    <mergeCell ref="J54:J55"/>
    <mergeCell ref="K54:K55"/>
    <mergeCell ref="R2:R3"/>
    <mergeCell ref="R21:R22"/>
    <mergeCell ref="S2:S3"/>
    <mergeCell ref="S21:S22"/>
    <mergeCell ref="T2:T3"/>
    <mergeCell ref="T21:T22"/>
    <mergeCell ref="U2:U3"/>
    <mergeCell ref="U21:U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附件1担保费明细表</vt:lpstr>
      <vt:lpstr>合并</vt:lpstr>
      <vt:lpstr>锦鑫</vt:lpstr>
      <vt:lpstr>天勤</vt:lpstr>
      <vt:lpstr>中审华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邓婷</cp:lastModifiedBy>
  <dcterms:created xsi:type="dcterms:W3CDTF">2016-12-03T00:54:00Z</dcterms:created>
  <dcterms:modified xsi:type="dcterms:W3CDTF">2025-07-29T07:14:44Z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651F063A81D142629FBB69016FF09E1C_13</vt:lpwstr>
  </property>
</Properties>
</file>